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EFEITURA\Desktop\LIXO\"/>
    </mc:Choice>
  </mc:AlternateContent>
  <bookViews>
    <workbookView xWindow="0" yWindow="0" windowWidth="16380" windowHeight="8190" tabRatio="500"/>
  </bookViews>
  <sheets>
    <sheet name="Resumo" sheetId="1" r:id="rId1"/>
    <sheet name="1. Coleta Seletiva" sheetId="3" r:id="rId2"/>
    <sheet name="3. Coleta Volumosos" sheetId="4" r:id="rId3"/>
    <sheet name="2.Encargos Sociais" sheetId="8" r:id="rId4"/>
    <sheet name="3.CAGED" sheetId="9" r:id="rId5"/>
    <sheet name="4.BDI" sheetId="10" r:id="rId6"/>
    <sheet name="5. Depreciação" sheetId="11" r:id="rId7"/>
    <sheet name="6.Remuneração de capital" sheetId="12" r:id="rId8"/>
    <sheet name="7. Dimensionamento" sheetId="13" r:id="rId9"/>
  </sheets>
  <definedNames>
    <definedName name="AbaDeprec">'5. Depreciação'!$A$1</definedName>
    <definedName name="AbaRemun">'6.Remuneração de capital'!$A$1</definedName>
    <definedName name="_xlnm.Print_Area" localSheetId="1">'1. Coleta Seletiva'!$A$1:$F$241</definedName>
    <definedName name="_xlnm.Print_Area" localSheetId="3">'2.Encargos Sociais'!$A$1:$C$38</definedName>
    <definedName name="_xlnm.Print_Area" localSheetId="2">'3. Coleta Volumosos'!$A$1:$F$255</definedName>
  </definedNames>
  <calcPr calcId="162913"/>
  <fileRecoveryPr repairLoad="1"/>
</workbook>
</file>

<file path=xl/calcChain.xml><?xml version="1.0" encoding="utf-8"?>
<calcChain xmlns="http://schemas.openxmlformats.org/spreadsheetml/2006/main">
  <c r="F6" i="1" l="1"/>
  <c r="C21" i="13"/>
  <c r="C14" i="13"/>
  <c r="C16" i="10"/>
  <c r="C21" i="10" s="1"/>
  <c r="F14" i="10"/>
  <c r="E14" i="10"/>
  <c r="D14" i="10"/>
  <c r="C26" i="9"/>
  <c r="C25" i="9"/>
  <c r="C27" i="9" s="1"/>
  <c r="C23" i="9"/>
  <c r="C34" i="8"/>
  <c r="C31" i="8"/>
  <c r="C20" i="8"/>
  <c r="C24" i="8" s="1"/>
  <c r="C33" i="8" s="1"/>
  <c r="C35" i="8" s="1"/>
  <c r="C36" i="8" s="1"/>
  <c r="C17" i="8"/>
  <c r="F233" i="4"/>
  <c r="F235" i="4" s="1"/>
  <c r="E27" i="4" s="1"/>
  <c r="E232" i="4"/>
  <c r="E225" i="4"/>
  <c r="C221" i="4"/>
  <c r="E221" i="4" s="1"/>
  <c r="D222" i="4" s="1"/>
  <c r="E222" i="4" s="1"/>
  <c r="F213" i="4"/>
  <c r="F216" i="4" s="1"/>
  <c r="E25" i="4" s="1"/>
  <c r="E212" i="4"/>
  <c r="E211" i="4"/>
  <c r="E210" i="4"/>
  <c r="E209" i="4"/>
  <c r="E208" i="4"/>
  <c r="C199" i="4"/>
  <c r="C197" i="4"/>
  <c r="E197" i="4" s="1"/>
  <c r="D198" i="4" s="1"/>
  <c r="E198" i="4" s="1"/>
  <c r="D199" i="4" s="1"/>
  <c r="E195" i="4"/>
  <c r="C190" i="4"/>
  <c r="E190" i="4" s="1"/>
  <c r="F191" i="4" s="1"/>
  <c r="E23" i="4" s="1"/>
  <c r="D184" i="4"/>
  <c r="D182" i="4"/>
  <c r="C182" i="4"/>
  <c r="E182" i="4" s="1"/>
  <c r="D180" i="4"/>
  <c r="E180" i="4" s="1"/>
  <c r="C180" i="4"/>
  <c r="D178" i="4"/>
  <c r="D185" i="4" s="1"/>
  <c r="C178" i="4"/>
  <c r="E178" i="4" s="1"/>
  <c r="D176" i="4"/>
  <c r="C176" i="4"/>
  <c r="E176" i="4" s="1"/>
  <c r="E168" i="4"/>
  <c r="C166" i="4"/>
  <c r="E166" i="4" s="1"/>
  <c r="E165" i="4"/>
  <c r="D165" i="4"/>
  <c r="C165" i="4"/>
  <c r="D164" i="4"/>
  <c r="E160" i="4"/>
  <c r="C159" i="4"/>
  <c r="D153" i="4"/>
  <c r="D148" i="4"/>
  <c r="E148" i="4" s="1"/>
  <c r="E144" i="4"/>
  <c r="C143" i="4"/>
  <c r="C141" i="4"/>
  <c r="C140" i="4"/>
  <c r="C137" i="4"/>
  <c r="E137" i="4" s="1"/>
  <c r="C136" i="4"/>
  <c r="D135" i="4"/>
  <c r="C135" i="4"/>
  <c r="C150" i="4" s="1"/>
  <c r="E132" i="4"/>
  <c r="E122" i="4"/>
  <c r="E120" i="4"/>
  <c r="D120" i="4"/>
  <c r="C120" i="4"/>
  <c r="B120" i="4"/>
  <c r="A120" i="4"/>
  <c r="E119" i="4"/>
  <c r="D119" i="4"/>
  <c r="C119" i="4"/>
  <c r="E118" i="4"/>
  <c r="D118" i="4"/>
  <c r="C118" i="4"/>
  <c r="D117" i="4"/>
  <c r="E117" i="4" s="1"/>
  <c r="C117" i="4"/>
  <c r="A117" i="4"/>
  <c r="E116" i="4"/>
  <c r="D116" i="4"/>
  <c r="C116" i="4"/>
  <c r="E115" i="4"/>
  <c r="D115" i="4"/>
  <c r="C115" i="4"/>
  <c r="E114" i="4"/>
  <c r="D121" i="4" s="1"/>
  <c r="E121" i="4" s="1"/>
  <c r="F122" i="4" s="1"/>
  <c r="D114" i="4"/>
  <c r="C114" i="4"/>
  <c r="E109" i="4"/>
  <c r="E107" i="4"/>
  <c r="E106" i="4"/>
  <c r="E105" i="4"/>
  <c r="E104" i="4"/>
  <c r="E103" i="4"/>
  <c r="E102" i="4"/>
  <c r="E101" i="4"/>
  <c r="E100" i="4"/>
  <c r="D108" i="4" s="1"/>
  <c r="E99" i="4"/>
  <c r="E90" i="4"/>
  <c r="C89" i="4"/>
  <c r="E89" i="4" s="1"/>
  <c r="A89" i="4"/>
  <c r="C88" i="4"/>
  <c r="E88" i="4" s="1"/>
  <c r="A88" i="4"/>
  <c r="C83" i="4"/>
  <c r="D82" i="4"/>
  <c r="E75" i="4"/>
  <c r="C74" i="4"/>
  <c r="C121" i="4" s="1"/>
  <c r="E70" i="4"/>
  <c r="E67" i="4"/>
  <c r="D68" i="4" s="1"/>
  <c r="E68" i="4" s="1"/>
  <c r="D67" i="4"/>
  <c r="E66" i="4"/>
  <c r="D66" i="4"/>
  <c r="E64" i="4"/>
  <c r="D83" i="4" s="1"/>
  <c r="E83" i="4" s="1"/>
  <c r="E59" i="4"/>
  <c r="C58" i="4"/>
  <c r="C82" i="4" s="1"/>
  <c r="E82" i="4" s="1"/>
  <c r="F84" i="4" s="1"/>
  <c r="E14" i="4" s="1"/>
  <c r="E54" i="4"/>
  <c r="D52" i="4"/>
  <c r="E52" i="4" s="1"/>
  <c r="D51" i="4"/>
  <c r="E51" i="4" s="1"/>
  <c r="E50" i="4"/>
  <c r="A42" i="4"/>
  <c r="E36" i="4"/>
  <c r="A35" i="4"/>
  <c r="A34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E224" i="3"/>
  <c r="C220" i="3"/>
  <c r="C222" i="3" s="1"/>
  <c r="E222" i="3" s="1"/>
  <c r="D223" i="3" s="1"/>
  <c r="E223" i="3" s="1"/>
  <c r="E211" i="3"/>
  <c r="E210" i="3"/>
  <c r="E209" i="3"/>
  <c r="E208" i="3"/>
  <c r="E207" i="3"/>
  <c r="C198" i="3"/>
  <c r="E196" i="3"/>
  <c r="C196" i="3"/>
  <c r="E194" i="3"/>
  <c r="D183" i="3"/>
  <c r="C183" i="3"/>
  <c r="E183" i="3" s="1"/>
  <c r="D181" i="3"/>
  <c r="D179" i="3"/>
  <c r="D177" i="3"/>
  <c r="E175" i="3"/>
  <c r="D175" i="3"/>
  <c r="D184" i="3" s="1"/>
  <c r="C175" i="3"/>
  <c r="C181" i="3" s="1"/>
  <c r="E167" i="3"/>
  <c r="E165" i="3"/>
  <c r="C165" i="3"/>
  <c r="D164" i="3"/>
  <c r="C164" i="3"/>
  <c r="E164" i="3" s="1"/>
  <c r="C163" i="3"/>
  <c r="E159" i="3"/>
  <c r="C158" i="3"/>
  <c r="E152" i="3"/>
  <c r="D152" i="3"/>
  <c r="E147" i="3"/>
  <c r="D147" i="3"/>
  <c r="E143" i="3"/>
  <c r="C142" i="3"/>
  <c r="C140" i="3"/>
  <c r="D139" i="3"/>
  <c r="C139" i="3"/>
  <c r="E139" i="3" s="1"/>
  <c r="D140" i="3" s="1"/>
  <c r="E140" i="3" s="1"/>
  <c r="E136" i="3"/>
  <c r="C154" i="3" s="1"/>
  <c r="C155" i="3" s="1"/>
  <c r="D156" i="3" s="1"/>
  <c r="E156" i="3" s="1"/>
  <c r="C136" i="3"/>
  <c r="C152" i="3" s="1"/>
  <c r="C135" i="3"/>
  <c r="C134" i="3"/>
  <c r="E131" i="3"/>
  <c r="D163" i="3" s="1"/>
  <c r="E121" i="3"/>
  <c r="C120" i="3"/>
  <c r="D119" i="3"/>
  <c r="E119" i="3" s="1"/>
  <c r="C119" i="3"/>
  <c r="B119" i="3"/>
  <c r="A119" i="3"/>
  <c r="E118" i="3"/>
  <c r="D118" i="3"/>
  <c r="C118" i="3"/>
  <c r="E117" i="3"/>
  <c r="D117" i="3"/>
  <c r="C117" i="3"/>
  <c r="D116" i="3"/>
  <c r="E116" i="3" s="1"/>
  <c r="C116" i="3"/>
  <c r="A116" i="3"/>
  <c r="D115" i="3"/>
  <c r="C115" i="3"/>
  <c r="E115" i="3" s="1"/>
  <c r="D114" i="3"/>
  <c r="E114" i="3" s="1"/>
  <c r="C114" i="3"/>
  <c r="E113" i="3"/>
  <c r="D120" i="3" s="1"/>
  <c r="E120" i="3" s="1"/>
  <c r="F121" i="3" s="1"/>
  <c r="D113" i="3"/>
  <c r="C113" i="3"/>
  <c r="E108" i="3"/>
  <c r="E106" i="3"/>
  <c r="E105" i="3"/>
  <c r="E104" i="3"/>
  <c r="E103" i="3"/>
  <c r="E102" i="3"/>
  <c r="E101" i="3"/>
  <c r="E100" i="3"/>
  <c r="E99" i="3"/>
  <c r="E98" i="3"/>
  <c r="D107" i="3" s="1"/>
  <c r="E89" i="3"/>
  <c r="E88" i="3"/>
  <c r="C88" i="3"/>
  <c r="A88" i="3"/>
  <c r="C87" i="3"/>
  <c r="E87" i="3" s="1"/>
  <c r="F89" i="3" s="1"/>
  <c r="A87" i="3"/>
  <c r="E82" i="3"/>
  <c r="D82" i="3"/>
  <c r="D81" i="3"/>
  <c r="E74" i="3"/>
  <c r="C73" i="3"/>
  <c r="C82" i="3" s="1"/>
  <c r="E69" i="3"/>
  <c r="D66" i="3"/>
  <c r="E66" i="3" s="1"/>
  <c r="D65" i="3"/>
  <c r="E65" i="3" s="1"/>
  <c r="E63" i="3"/>
  <c r="E58" i="3"/>
  <c r="C57" i="3"/>
  <c r="C81" i="3" s="1"/>
  <c r="E81" i="3" s="1"/>
  <c r="F83" i="3" s="1"/>
  <c r="E14" i="3" s="1"/>
  <c r="E53" i="3"/>
  <c r="E51" i="3"/>
  <c r="D51" i="3"/>
  <c r="E50" i="3"/>
  <c r="D52" i="3" s="1"/>
  <c r="E52" i="3" s="1"/>
  <c r="D50" i="3"/>
  <c r="E49" i="3"/>
  <c r="A41" i="3"/>
  <c r="E35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33" i="3" s="1"/>
  <c r="A12" i="3"/>
  <c r="A34" i="3" s="1"/>
  <c r="A11" i="3"/>
  <c r="F5" i="1"/>
  <c r="E163" i="3" l="1"/>
  <c r="D166" i="3" s="1"/>
  <c r="E166" i="3" s="1"/>
  <c r="F167" i="3" s="1"/>
  <c r="E21" i="3" s="1"/>
  <c r="E54" i="3"/>
  <c r="E199" i="4"/>
  <c r="F200" i="4" s="1"/>
  <c r="E24" i="4" s="1"/>
  <c r="F90" i="4"/>
  <c r="E15" i="3"/>
  <c r="C151" i="4"/>
  <c r="D152" i="4" s="1"/>
  <c r="E152" i="4" s="1"/>
  <c r="C243" i="4"/>
  <c r="C233" i="3"/>
  <c r="D67" i="3"/>
  <c r="E67" i="3" s="1"/>
  <c r="C155" i="4"/>
  <c r="D140" i="4"/>
  <c r="E140" i="4" s="1"/>
  <c r="D141" i="4" s="1"/>
  <c r="E141" i="4" s="1"/>
  <c r="C153" i="4"/>
  <c r="E153" i="4" s="1"/>
  <c r="C179" i="3"/>
  <c r="E179" i="3" s="1"/>
  <c r="D197" i="3"/>
  <c r="E197" i="3" s="1"/>
  <c r="D198" i="3" s="1"/>
  <c r="E198" i="3" s="1"/>
  <c r="F199" i="3" s="1"/>
  <c r="E24" i="3" s="1"/>
  <c r="C107" i="3"/>
  <c r="E107" i="3" s="1"/>
  <c r="F108" i="3" s="1"/>
  <c r="F123" i="3" s="1"/>
  <c r="E16" i="3" s="1"/>
  <c r="D134" i="3"/>
  <c r="E134" i="3" s="1"/>
  <c r="D135" i="3" s="1"/>
  <c r="E135" i="3" s="1"/>
  <c r="E141" i="3" s="1"/>
  <c r="D142" i="3" s="1"/>
  <c r="E142" i="3" s="1"/>
  <c r="F143" i="3" s="1"/>
  <c r="D53" i="4"/>
  <c r="E53" i="4" s="1"/>
  <c r="E55" i="4" s="1"/>
  <c r="C108" i="4"/>
  <c r="E108" i="4" s="1"/>
  <c r="F109" i="4" s="1"/>
  <c r="F124" i="4" s="1"/>
  <c r="E16" i="4" s="1"/>
  <c r="E135" i="4"/>
  <c r="D136" i="4" s="1"/>
  <c r="E136" i="4" s="1"/>
  <c r="E142" i="4" s="1"/>
  <c r="D143" i="4" s="1"/>
  <c r="E143" i="4"/>
  <c r="F144" i="4" s="1"/>
  <c r="C28" i="9"/>
  <c r="C33" i="9"/>
  <c r="E220" i="3"/>
  <c r="D221" i="3" s="1"/>
  <c r="E221" i="3" s="1"/>
  <c r="F224" i="3" s="1"/>
  <c r="F226" i="3" s="1"/>
  <c r="E26" i="3" s="1"/>
  <c r="E181" i="3"/>
  <c r="C149" i="3"/>
  <c r="E71" i="4"/>
  <c r="C223" i="4"/>
  <c r="E223" i="4" s="1"/>
  <c r="D224" i="4" s="1"/>
  <c r="E224" i="4" s="1"/>
  <c r="F225" i="4" s="1"/>
  <c r="F227" i="4" s="1"/>
  <c r="E26" i="4" s="1"/>
  <c r="C177" i="3"/>
  <c r="E177" i="3" s="1"/>
  <c r="F185" i="3" s="1"/>
  <c r="E22" i="3" s="1"/>
  <c r="C189" i="3"/>
  <c r="E189" i="3" s="1"/>
  <c r="F190" i="3" s="1"/>
  <c r="E23" i="3" s="1"/>
  <c r="F212" i="3"/>
  <c r="F215" i="3" s="1"/>
  <c r="E25" i="3" s="1"/>
  <c r="C17" i="13"/>
  <c r="C22" i="13" s="1"/>
  <c r="C24" i="13" s="1"/>
  <c r="C15" i="13"/>
  <c r="E70" i="3"/>
  <c r="C164" i="4"/>
  <c r="E164" i="4" s="1"/>
  <c r="D167" i="4" s="1"/>
  <c r="E167" i="4" s="1"/>
  <c r="F168" i="4" s="1"/>
  <c r="E21" i="4" s="1"/>
  <c r="C184" i="4"/>
  <c r="E184" i="4" s="1"/>
  <c r="F186" i="4" s="1"/>
  <c r="E22" i="4" s="1"/>
  <c r="E19" i="3" l="1"/>
  <c r="D56" i="4"/>
  <c r="E56" i="4" s="1"/>
  <c r="E57" i="4" s="1"/>
  <c r="D58" i="4" s="1"/>
  <c r="E58" i="4" s="1"/>
  <c r="F59" i="4" s="1"/>
  <c r="E12" i="4" s="1"/>
  <c r="E19" i="4"/>
  <c r="D55" i="3"/>
  <c r="E55" i="3" s="1"/>
  <c r="E56" i="3" s="1"/>
  <c r="D57" i="3" s="1"/>
  <c r="E57" i="3" s="1"/>
  <c r="F58" i="3" s="1"/>
  <c r="E12" i="3" s="1"/>
  <c r="D71" i="3"/>
  <c r="E71" i="3" s="1"/>
  <c r="E72" i="3" s="1"/>
  <c r="D73" i="3" s="1"/>
  <c r="E73" i="3" s="1"/>
  <c r="F74" i="3" s="1"/>
  <c r="C156" i="4"/>
  <c r="D157" i="4" s="1"/>
  <c r="E157" i="4" s="1"/>
  <c r="E158" i="4" s="1"/>
  <c r="D159" i="4" s="1"/>
  <c r="E159" i="4" s="1"/>
  <c r="F160" i="4" s="1"/>
  <c r="E73" i="4"/>
  <c r="D74" i="4" s="1"/>
  <c r="E74" i="4" s="1"/>
  <c r="F75" i="4" s="1"/>
  <c r="E13" i="4" s="1"/>
  <c r="D72" i="4"/>
  <c r="E72" i="4" s="1"/>
  <c r="C150" i="3"/>
  <c r="D151" i="3" s="1"/>
  <c r="E151" i="3" s="1"/>
  <c r="E157" i="3" s="1"/>
  <c r="D158" i="3" s="1"/>
  <c r="E158" i="3" s="1"/>
  <c r="F159" i="3" s="1"/>
  <c r="E20" i="3" s="1"/>
  <c r="E15" i="4"/>
  <c r="E13" i="3" l="1"/>
  <c r="F91" i="3"/>
  <c r="E20" i="4"/>
  <c r="F203" i="4"/>
  <c r="E17" i="4" s="1"/>
  <c r="E18" i="3"/>
  <c r="F202" i="3"/>
  <c r="E17" i="3" s="1"/>
  <c r="F92" i="4"/>
  <c r="E18" i="4"/>
  <c r="E11" i="3" l="1"/>
  <c r="F228" i="3"/>
  <c r="E11" i="4"/>
  <c r="F238" i="4"/>
  <c r="D233" i="3" l="1"/>
  <c r="E233" i="3" s="1"/>
  <c r="F234" i="3" s="1"/>
  <c r="F236" i="3" s="1"/>
  <c r="E27" i="3" s="1"/>
  <c r="D243" i="4"/>
  <c r="E243" i="4" s="1"/>
  <c r="F244" i="4" s="1"/>
  <c r="F246" i="4" s="1"/>
  <c r="E28" i="4" s="1"/>
  <c r="E28" i="3"/>
  <c r="F249" i="4" l="1"/>
  <c r="F254" i="4" s="1"/>
  <c r="F14" i="3"/>
  <c r="F24" i="3"/>
  <c r="F16" i="3"/>
  <c r="F25" i="3"/>
  <c r="F15" i="3"/>
  <c r="F21" i="3"/>
  <c r="F22" i="3"/>
  <c r="F26" i="3"/>
  <c r="F23" i="3"/>
  <c r="F20" i="3"/>
  <c r="F12" i="3"/>
  <c r="F19" i="3"/>
  <c r="F18" i="3"/>
  <c r="F17" i="3"/>
  <c r="F13" i="3"/>
  <c r="F27" i="3"/>
  <c r="F28" i="4"/>
  <c r="F11" i="3"/>
  <c r="F28" i="3" s="1"/>
  <c r="F239" i="3"/>
  <c r="E4" i="1" s="1"/>
  <c r="F4" i="1" s="1"/>
  <c r="E29" i="4"/>
  <c r="F7" i="1" l="1"/>
  <c r="F8" i="1" s="1"/>
  <c r="F25" i="4"/>
  <c r="F27" i="4"/>
  <c r="F14" i="4"/>
  <c r="F23" i="4"/>
  <c r="F22" i="4"/>
  <c r="F26" i="4"/>
  <c r="F16" i="4"/>
  <c r="F24" i="4"/>
  <c r="F21" i="4"/>
  <c r="F19" i="4"/>
  <c r="F15" i="4"/>
  <c r="F13" i="4"/>
  <c r="F12" i="4"/>
  <c r="F20" i="4"/>
  <c r="F17" i="4"/>
  <c r="F18" i="4"/>
  <c r="F11" i="4"/>
  <c r="F29" i="4" l="1"/>
</calcChain>
</file>

<file path=xl/comments1.xml><?xml version="1.0" encoding="utf-8"?>
<comments xmlns="http://schemas.openxmlformats.org/spreadsheetml/2006/main">
  <authors>
    <author>Autor desconhecido</author>
  </authors>
  <commentList>
    <comment ref="B37" authorId="0" shapeId="0">
      <text>
        <r>
          <rPr>
            <sz val="10"/>
            <rFont val="Arial"/>
            <family val="2"/>
          </rPr>
          <t xml:space="preserve">Informar o fator de utilização das equipes de coleta. 
Por exemplo:
Equipes com utilização integral = 100%
Equipes com utilização parcial = n° horas trabalhadas por semana /44 horas
</t>
        </r>
      </text>
    </comment>
    <comment ref="B43" authorId="0" shapeId="0">
      <text>
        <r>
          <rPr>
            <sz val="10"/>
            <rFont val="Arial"/>
            <family val="2"/>
          </rPr>
          <t xml:space="preserve">Informar o fator de utilização das equipes de coleta. 
Por exemplo:
Equipes com utilização integral = 100%
Equipes com utilização parcial = n° horas trabalhadas por semana /44 horas
</t>
        </r>
      </text>
    </comment>
    <comment ref="D49" authorId="0" shapeId="0">
      <text>
        <r>
          <rPr>
            <sz val="10"/>
            <rFont val="Arial"/>
            <family val="2"/>
          </rPr>
          <t>Informar o Piso da categoria fixado na Convenção Coletiva</t>
        </r>
      </text>
    </comment>
    <comment ref="C50" authorId="0" shapeId="0">
      <text>
        <r>
          <rPr>
            <sz val="10"/>
            <rFont val="Arial"/>
            <family val="2"/>
          </rPr>
          <t xml:space="preserve">Informar o número de horas extras trabalhadas nos domingos e feriados em horário diurno
</t>
        </r>
      </text>
    </comment>
    <comment ref="C51" authorId="0" shapeId="0">
      <text>
        <r>
          <rPr>
            <sz val="10"/>
            <rFont val="Arial"/>
            <family val="2"/>
          </rPr>
          <t xml:space="preserve">Informar o número de horas extras trabalhadas em horário diurno de segunda a sábado 
</t>
        </r>
      </text>
    </comment>
    <comment ref="A52" authorId="0" shapeId="0">
      <text>
        <r>
          <rPr>
            <sz val="10"/>
            <rFont val="Arial"/>
            <family val="2"/>
          </rPr>
          <t xml:space="preserve">Cálculo do descanso semanal remunerado incidente sobre as horas extras habitualmente prestadas. Considerada a média de 63 feriados + domingos e 302 dias trabalhados por ano
</t>
        </r>
      </text>
    </comment>
    <comment ref="C55" authorId="0" shapeId="0">
      <text>
        <r>
          <rPr>
            <sz val="10"/>
            <rFont val="Arial"/>
            <family val="2"/>
          </rPr>
          <t xml:space="preserve">Preencher a planilha Encargos Sociais e CAGED </t>
        </r>
      </text>
    </comment>
    <comment ref="C57" authorId="0" shapeId="0">
      <text>
        <r>
          <rPr>
            <sz val="10"/>
            <rFont val="Arial"/>
            <family val="2"/>
          </rPr>
          <t>Informar a quantidade de trabalhadores na função</t>
        </r>
      </text>
    </comment>
    <comment ref="D63" authorId="0" shapeId="0">
      <text>
        <r>
          <rPr>
            <sz val="10"/>
            <rFont val="Arial"/>
            <family val="2"/>
          </rPr>
          <t>Informar o Piso da categoria fixado na Convenção Coletiva</t>
        </r>
      </text>
    </comment>
    <comment ref="D64" authorId="0" shapeId="0">
      <text>
        <r>
          <rPr>
            <sz val="10"/>
            <rFont val="Arial"/>
            <family val="2"/>
          </rPr>
          <t>Informar o valor do salário Mínimo Nacional</t>
        </r>
      </text>
    </comment>
    <comment ref="C65" authorId="0" shapeId="0">
      <text>
        <r>
          <rPr>
            <sz val="10"/>
            <rFont val="Arial"/>
            <family val="2"/>
          </rPr>
          <t>Informar o número de horas extras trabalhadas em horário diurno nos domingos e feriados</t>
        </r>
      </text>
    </comment>
    <comment ref="C66" authorId="0" shapeId="0">
      <text>
        <r>
          <rPr>
            <sz val="10"/>
            <rFont val="Arial"/>
            <family val="2"/>
          </rPr>
          <t xml:space="preserve">Informar o número de horas extras trabalhadas em horário diurno de segunda a sábado 
</t>
        </r>
      </text>
    </comment>
    <comment ref="A67" authorId="0" shapeId="0">
      <text>
        <r>
          <rPr>
            <sz val="10"/>
            <rFont val="Arial"/>
            <family val="2"/>
          </rPr>
          <t xml:space="preserve">Cálculo do descanso semanal remunerado incidente sobre as horas extras habitualmente prestadas. Considerada a média de 63 feriados + domingos e 302 dias trabalhados por ano
</t>
        </r>
      </text>
    </comment>
    <comment ref="C68" authorId="0" shapeId="0">
      <text>
        <r>
          <rPr>
            <sz val="10"/>
            <rFont val="Arial"/>
            <family val="2"/>
          </rPr>
          <t xml:space="preserve">Informar 1 se a base de cálculo for o Salário Mínimo Nacional; Informar 2 se a base de cálculo for o Piso da Categoria; 
</t>
        </r>
      </text>
    </comment>
    <comment ref="C69" authorId="0" shapeId="0">
      <text>
        <r>
          <rPr>
            <sz val="10"/>
            <rFont val="Arial"/>
            <family val="2"/>
          </rPr>
          <t>Percentual estabelecido nas Normas de Segurança de Trabalho ou pelo laudo de responsável técnico devidamente habilitado</t>
        </r>
      </text>
    </comment>
    <comment ref="C71" authorId="0" shapeId="0">
      <text>
        <r>
          <rPr>
            <sz val="10"/>
            <rFont val="Arial"/>
            <family val="2"/>
          </rPr>
          <t xml:space="preserve">Preencher a planilha Encargos Sociais e CAGED </t>
        </r>
      </text>
    </comment>
    <comment ref="C73" authorId="0" shapeId="0">
      <text>
        <r>
          <rPr>
            <sz val="10"/>
            <rFont val="Arial"/>
            <family val="2"/>
          </rPr>
          <t>Informar a quantidade de trabalhadores na função</t>
        </r>
      </text>
    </comment>
    <comment ref="D79" authorId="0" shapeId="0">
      <text>
        <r>
          <rPr>
            <sz val="10"/>
            <rFont val="Arial"/>
            <family val="2"/>
          </rPr>
          <t>Informar o valor unitário do VT no município</t>
        </r>
      </text>
    </comment>
    <comment ref="C80" authorId="0" shapeId="0">
      <text>
        <r>
          <rPr>
            <sz val="10"/>
            <rFont val="Arial"/>
            <family val="2"/>
          </rPr>
          <t>Informar o número médio de dias trabalhados por mês</t>
        </r>
      </text>
    </comment>
    <comment ref="D81" authorId="0" shapeId="0">
      <text>
        <r>
          <rPr>
            <sz val="10"/>
            <rFont val="Arial"/>
            <family val="2"/>
          </rPr>
          <t>Valor Unitário considerando o desconto legal de até 6% do salário</t>
        </r>
      </text>
    </comment>
    <comment ref="D82" authorId="0" shapeId="0">
      <text>
        <r>
          <rPr>
            <sz val="10"/>
            <rFont val="Arial"/>
            <family val="2"/>
          </rPr>
          <t xml:space="preserve">Valor Unitário considerando o desconto legal de até 6% do salário
</t>
        </r>
      </text>
    </comment>
    <comment ref="D87" authorId="0" shapeId="0">
      <text>
        <r>
          <rPr>
            <sz val="10"/>
            <rFont val="Arial"/>
            <family val="2"/>
          </rPr>
          <t>Informar o valor mensal do auxilio alimentação, considerando o desconto aplicável ao funcionário, conforme Convenção Coletiva da categoria</t>
        </r>
      </text>
    </comment>
    <comment ref="D88" authorId="0" shapeId="0">
      <text>
        <r>
          <rPr>
            <sz val="10"/>
            <rFont val="Arial"/>
            <family val="2"/>
          </rPr>
          <t>Informar o valor mensal do auxilio alimentação, considerando o desconto aplicável ao funcionário, conforme Convenção Coletiva da categoria</t>
        </r>
      </text>
    </comment>
    <comment ref="C98" authorId="0" shapeId="0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98" authorId="0" shapeId="0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99" authorId="0" shapeId="0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99" authorId="0" shapeId="0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100" authorId="0" shapeId="0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100" authorId="0" shapeId="0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101" authorId="0" shapeId="0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101" authorId="0" shapeId="0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102" authorId="0" shapeId="0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102" authorId="0" shapeId="0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103" authorId="0" shapeId="0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103" authorId="0" shapeId="0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104" authorId="0" shapeId="0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104" authorId="0" shapeId="0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105" authorId="0" shapeId="0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105" authorId="0" shapeId="0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113" authorId="0" shapeId="0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C114" authorId="0" shapeId="0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C115" authorId="0" shapeId="0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C116" authorId="0" shapeId="0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C117" authorId="0" shapeId="0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C118" authorId="0" shapeId="0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131" authorId="0" shapeId="0">
      <text>
        <r>
          <rPr>
            <sz val="10"/>
            <rFont val="Arial"/>
            <family val="2"/>
          </rPr>
          <t>Informar o preço unitário do chassis do caminhão de coleta</t>
        </r>
      </text>
    </comment>
    <comment ref="C132" authorId="0" shapeId="0">
      <text>
        <r>
          <rPr>
            <sz val="10"/>
            <rFont val="Arial"/>
            <family val="2"/>
          </rPr>
          <t>Informar a vida útil estimada para o caminhão, em anos</t>
        </r>
      </text>
    </comment>
    <comment ref="C133" authorId="0" shapeId="0">
      <text>
        <r>
          <rPr>
            <sz val="10"/>
            <rFont val="Arial"/>
            <family val="2"/>
          </rPr>
          <t>Na elaboração do orçamento-base da licitação, informar 0 (zero). Na proposta da licitante, informar a idade do veículo proposto.</t>
        </r>
      </text>
    </comment>
    <comment ref="C134" authorId="0" shapeId="0">
      <text>
        <r>
          <rPr>
            <sz val="10"/>
            <rFont val="Arial"/>
            <family val="2"/>
          </rPr>
          <t xml:space="preserve">Informar o valor da depreciação do caminhão, adotando o valor sugerido pelo TCE ou outro valor estimado 
</t>
        </r>
      </text>
    </comment>
    <comment ref="D136" authorId="0" shapeId="0">
      <text>
        <r>
          <rPr>
            <sz val="10"/>
            <rFont val="Arial"/>
            <family val="2"/>
          </rPr>
          <t xml:space="preserve">Informar o preço unitário do equipamento compactador
</t>
        </r>
      </text>
    </comment>
    <comment ref="C137" authorId="0" shapeId="0">
      <text>
        <r>
          <rPr>
            <sz val="10"/>
            <rFont val="Arial"/>
            <family val="2"/>
          </rPr>
          <t>Informar a vida útil estimada para o compactador, em anos</t>
        </r>
      </text>
    </comment>
    <comment ref="C138" authorId="0" shapeId="0">
      <text>
        <r>
          <rPr>
            <sz val="10"/>
            <rFont val="Arial"/>
            <family val="2"/>
          </rPr>
          <t>Na elaboração do orçamento-base da licitação, informar 0 (zero). Na proposta da licitante, informar a idade do compactador proposto.</t>
        </r>
      </text>
    </comment>
    <comment ref="C139" authorId="0" shapeId="0">
      <text>
        <r>
          <rPr>
            <sz val="10"/>
            <rFont val="Arial"/>
            <family val="2"/>
          </rPr>
          <t xml:space="preserve">Informar o valor da depreciação do compactador, adotando o valor sugerido pelo TCE ou outro valor estimado 
</t>
        </r>
      </text>
    </comment>
    <comment ref="C142" authorId="0" shapeId="0">
      <text>
        <r>
          <rPr>
            <sz val="10"/>
            <rFont val="Arial"/>
            <family val="2"/>
          </rPr>
          <t>Informar a quantidade de caminhões compactadores do respectivo modelo</t>
        </r>
      </text>
    </comment>
    <comment ref="C148" authorId="0" shapeId="0">
      <text>
        <r>
          <rPr>
            <sz val="10"/>
            <rFont val="Arial"/>
            <family val="2"/>
          </rPr>
          <t xml:space="preserve">Informar a taxa de juros anual para remuneração do capital. Recomenda-se o uso da Taxa SELIC
</t>
        </r>
      </text>
    </comment>
    <comment ref="D164" authorId="0" shapeId="0">
      <text>
        <r>
          <rPr>
            <sz val="10"/>
            <rFont val="Arial"/>
            <family val="2"/>
          </rPr>
          <t xml:space="preserve">Informar o valor do seguro obrigatório e licenciamento anual de um caminhão
</t>
        </r>
      </text>
    </comment>
    <comment ref="D165" authorId="0" shapeId="0">
      <text>
        <r>
          <rPr>
            <sz val="10"/>
            <rFont val="Arial"/>
            <family val="2"/>
          </rPr>
          <t xml:space="preserve">Informar o valor do seguro contra terceiros de um caminhão, se houver previsão no Projeto Básico
</t>
        </r>
      </text>
    </comment>
    <comment ref="B171" authorId="0" shapeId="0">
      <text>
        <r>
          <rPr>
            <sz val="10"/>
            <rFont val="Arial"/>
            <family val="2"/>
          </rPr>
          <t xml:space="preserve">Informar a quilometragem mensal percorrida, de acordo com o projeto básico
</t>
        </r>
      </text>
    </comment>
    <comment ref="C174" authorId="0" shapeId="0">
      <text>
        <r>
          <rPr>
            <sz val="10"/>
            <rFont val="Arial"/>
            <family val="2"/>
          </rPr>
          <t>Informar o consumo estimado do veículo em km/l</t>
        </r>
      </text>
    </comment>
    <comment ref="D174" authorId="0" shapeId="0">
      <text>
        <r>
          <rPr>
            <sz val="10"/>
            <rFont val="Arial"/>
            <family val="2"/>
          </rPr>
          <t xml:space="preserve">Informar o preço unitário do combustivel
</t>
        </r>
      </text>
    </comment>
    <comment ref="C176" authorId="0" shapeId="0">
      <text>
        <r>
          <rPr>
            <sz val="10"/>
            <rFont val="Arial"/>
            <family val="2"/>
          </rPr>
          <t>Informar o consumo de óleo do motor a cada 1000km</t>
        </r>
      </text>
    </comment>
    <comment ref="D176" authorId="0" shapeId="0">
      <text>
        <r>
          <rPr>
            <sz val="10"/>
            <rFont val="Arial"/>
            <family val="2"/>
          </rPr>
          <t xml:space="preserve">Informar o preço unitário do litro do óleo do motor
</t>
        </r>
      </text>
    </comment>
    <comment ref="C178" authorId="0" shapeId="0">
      <text>
        <r>
          <rPr>
            <sz val="10"/>
            <rFont val="Arial"/>
            <family val="2"/>
          </rPr>
          <t>Informar o consumo de óleo da transmissão a cada 1000km</t>
        </r>
      </text>
    </comment>
    <comment ref="D178" authorId="0" shapeId="0">
      <text>
        <r>
          <rPr>
            <sz val="10"/>
            <rFont val="Arial"/>
            <family val="2"/>
          </rPr>
          <t xml:space="preserve">Informar o preço unitário do litro do óleo da transmissão
</t>
        </r>
      </text>
    </comment>
    <comment ref="C180" authorId="0" shapeId="0">
      <text>
        <r>
          <rPr>
            <sz val="10"/>
            <rFont val="Arial"/>
            <family val="2"/>
          </rPr>
          <t>Informar o consumo de óleo hidráulico a cada 1000km</t>
        </r>
      </text>
    </comment>
    <comment ref="D180" authorId="0" shapeId="0">
      <text>
        <r>
          <rPr>
            <sz val="10"/>
            <rFont val="Arial"/>
            <family val="2"/>
          </rPr>
          <t xml:space="preserve">Informar o preço unitário do litro do óleo hidráulico
</t>
        </r>
      </text>
    </comment>
    <comment ref="C182" authorId="0" shapeId="0">
      <text>
        <r>
          <rPr>
            <sz val="10"/>
            <rFont val="Arial"/>
            <family val="2"/>
          </rPr>
          <t>Informar o consumo de graxa a cada 1000km</t>
        </r>
      </text>
    </comment>
    <comment ref="D182" authorId="0" shapeId="0">
      <text>
        <r>
          <rPr>
            <sz val="10"/>
            <rFont val="Arial"/>
            <family val="2"/>
          </rPr>
          <t xml:space="preserve">Informar o preço unitário do litro da graxa
</t>
        </r>
      </text>
    </comment>
    <comment ref="D189" authorId="0" shapeId="0">
      <text>
        <r>
          <rPr>
            <sz val="10"/>
            <rFont val="Arial"/>
            <family val="2"/>
          </rPr>
          <t xml:space="preserve">Informar o custo de manutenção em R$/km rodado
</t>
        </r>
      </text>
    </comment>
    <comment ref="C194" authorId="0" shapeId="0">
      <text>
        <r>
          <rPr>
            <sz val="10"/>
            <rFont val="Arial"/>
            <family val="2"/>
          </rPr>
          <t>Informar a quantidade de pneus novos de 1 caminhão</t>
        </r>
      </text>
    </comment>
    <comment ref="D194" authorId="0" shapeId="0">
      <text>
        <r>
          <rPr>
            <sz val="10"/>
            <rFont val="Arial"/>
            <family val="2"/>
          </rPr>
          <t xml:space="preserve">Informar o preço unitário de cada pneu
</t>
        </r>
      </text>
    </comment>
    <comment ref="C195" authorId="0" shapeId="0">
      <text>
        <r>
          <rPr>
            <sz val="10"/>
            <rFont val="Arial"/>
            <family val="2"/>
          </rPr>
          <t>Informar o número de recapagens por pneu</t>
        </r>
      </text>
    </comment>
    <comment ref="D196" authorId="0" shapeId="0">
      <text>
        <r>
          <rPr>
            <sz val="10"/>
            <rFont val="Arial"/>
            <family val="2"/>
          </rPr>
          <t xml:space="preserve">Informar o preço unitário de cada recapagem
</t>
        </r>
      </text>
    </comment>
    <comment ref="C197" authorId="0" shapeId="0">
      <text>
        <r>
          <rPr>
            <sz val="10"/>
            <rFont val="Arial"/>
            <family val="2"/>
          </rPr>
          <t xml:space="preserve">Informar a durabilidade média dos pneus considerando todas as recapagens, em km
</t>
        </r>
      </text>
    </comment>
    <comment ref="C207" authorId="0" shapeId="0">
      <text>
        <r>
          <rPr>
            <sz val="10"/>
            <rFont val="Arial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07" authorId="0" shapeId="0">
      <text>
        <r>
          <rPr>
            <sz val="10"/>
            <rFont val="Arial"/>
            <family val="2"/>
          </rPr>
          <t>Informar o valor unitário estimado para aquisição de cada material</t>
        </r>
      </text>
    </comment>
    <comment ref="C208" authorId="0" shapeId="0">
      <text>
        <r>
          <rPr>
            <sz val="10"/>
            <rFont val="Arial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08" authorId="0" shapeId="0">
      <text>
        <r>
          <rPr>
            <sz val="10"/>
            <rFont val="Arial"/>
            <family val="2"/>
          </rPr>
          <t>Informar o valor unitário estimado para aquisição de cada material</t>
        </r>
      </text>
    </comment>
    <comment ref="C209" authorId="0" shapeId="0">
      <text>
        <r>
          <rPr>
            <sz val="10"/>
            <rFont val="Arial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09" authorId="0" shapeId="0">
      <text>
        <r>
          <rPr>
            <sz val="10"/>
            <rFont val="Arial"/>
            <family val="2"/>
          </rPr>
          <t>Informar o valor unitário estimado para aquisição de cada material</t>
        </r>
      </text>
    </comment>
    <comment ref="C210" authorId="0" shapeId="0">
      <text>
        <r>
          <rPr>
            <sz val="10"/>
            <rFont val="Arial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10" authorId="0" shapeId="0">
      <text>
        <r>
          <rPr>
            <sz val="10"/>
            <rFont val="Arial"/>
            <family val="2"/>
          </rPr>
          <t>Informar o valor unitário estimado para aquisição de cada material</t>
        </r>
      </text>
    </comment>
    <comment ref="C211" authorId="0" shapeId="0">
      <text>
        <r>
          <rPr>
            <sz val="10"/>
            <rFont val="Arial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11" authorId="0" shapeId="0">
      <text>
        <r>
          <rPr>
            <sz val="10"/>
            <rFont val="Arial"/>
            <family val="2"/>
          </rPr>
          <t>Informar o valor unitário estimado para aquisição de cada material</t>
        </r>
      </text>
    </comment>
    <comment ref="A217" authorId="0" shapeId="0">
      <text>
        <r>
          <rPr>
            <sz val="10"/>
            <rFont val="Arial"/>
            <family val="2"/>
          </rPr>
          <t xml:space="preserve">Especificar somente quando for exigido no Projeto Básico
</t>
        </r>
      </text>
    </comment>
    <comment ref="D220" authorId="0" shapeId="0">
      <text>
        <r>
          <rPr>
            <sz val="10"/>
            <rFont val="Arial"/>
            <family val="2"/>
          </rPr>
          <t>Informar o valor total para instalação do equipamento de monitoramento da frota, se houver previsão no Projeto Básico</t>
        </r>
      </text>
    </comment>
    <comment ref="D222" authorId="0" shapeId="0">
      <text>
        <r>
          <rPr>
            <sz val="10"/>
            <rFont val="Arial"/>
            <family val="2"/>
          </rPr>
          <t>Informar o valor unitário mensal para manutenção dos equipamentos de monitoramento</t>
        </r>
      </text>
    </comment>
    <comment ref="C233" authorId="0" shapeId="0">
      <text>
        <r>
          <rPr>
            <sz val="10"/>
            <rFont val="Arial"/>
            <family val="2"/>
          </rPr>
          <t>Preencher a aba 4.BDI</t>
        </r>
      </text>
    </comment>
  </commentList>
</comments>
</file>

<file path=xl/comments2.xml><?xml version="1.0" encoding="utf-8"?>
<comments xmlns="http://schemas.openxmlformats.org/spreadsheetml/2006/main">
  <authors>
    <author>Autor desconhecido</author>
  </authors>
  <commentList>
    <comment ref="B38" authorId="0" shapeId="0">
      <text>
        <r>
          <rPr>
            <sz val="10"/>
            <rFont val="Arial"/>
            <family val="2"/>
          </rPr>
          <t xml:space="preserve">Informar o fator de utilização das equipes de coleta. 
Por exemplo:
Equipes com utilização integral = 100%
Equipes com utilização parcial = n° horas trabalhadas por semana /44 horas
</t>
        </r>
      </text>
    </comment>
    <comment ref="B44" authorId="0" shapeId="0">
      <text>
        <r>
          <rPr>
            <sz val="10"/>
            <rFont val="Arial"/>
            <family val="2"/>
          </rPr>
          <t xml:space="preserve">Informar o fator de utilização das equipes de coleta. 
Por exemplo:
Equipes com utilização integral = 100%
Equipes com utilização parcial = n° horas trabalhadas por semana /44 horas
</t>
        </r>
      </text>
    </comment>
    <comment ref="D50" authorId="0" shapeId="0">
      <text>
        <r>
          <rPr>
            <sz val="10"/>
            <rFont val="Arial"/>
            <family val="2"/>
          </rPr>
          <t>Informar o Piso da categoria fixado na Convenção Coletiva</t>
        </r>
      </text>
    </comment>
    <comment ref="C51" authorId="0" shapeId="0">
      <text>
        <r>
          <rPr>
            <sz val="10"/>
            <rFont val="Arial"/>
            <family val="2"/>
          </rPr>
          <t xml:space="preserve">Informar o número de horas extras trabalhadas nos domingos e feriados em horário diurno
</t>
        </r>
      </text>
    </comment>
    <comment ref="C52" authorId="0" shapeId="0">
      <text>
        <r>
          <rPr>
            <sz val="10"/>
            <rFont val="Arial"/>
            <family val="2"/>
          </rPr>
          <t xml:space="preserve">Informar o número de horas extras trabalhadas em horário diurno de segunda a sábado 
</t>
        </r>
      </text>
    </comment>
    <comment ref="A53" authorId="0" shapeId="0">
      <text>
        <r>
          <rPr>
            <sz val="10"/>
            <rFont val="Arial"/>
            <family val="2"/>
          </rPr>
          <t xml:space="preserve">Cálculo do descanso semanal remunerado incidente sobre as horas extras habitualmente prestadas. Considerada a média de 63 feriados + domingos e 302 dias trabalhados por ano
</t>
        </r>
      </text>
    </comment>
    <comment ref="C56" authorId="0" shapeId="0">
      <text>
        <r>
          <rPr>
            <sz val="10"/>
            <rFont val="Arial"/>
            <family val="2"/>
          </rPr>
          <t xml:space="preserve">Preencher a planilha Encargos Sociais e CAGED </t>
        </r>
      </text>
    </comment>
    <comment ref="C58" authorId="0" shapeId="0">
      <text>
        <r>
          <rPr>
            <sz val="10"/>
            <rFont val="Arial"/>
            <family val="2"/>
          </rPr>
          <t>Informar a quantidade de trabalhadores na função</t>
        </r>
      </text>
    </comment>
    <comment ref="D64" authorId="0" shapeId="0">
      <text>
        <r>
          <rPr>
            <sz val="10"/>
            <rFont val="Arial"/>
            <family val="2"/>
          </rPr>
          <t>Informar o Piso da categoria fixado na Convenção Coletiva</t>
        </r>
      </text>
    </comment>
    <comment ref="D65" authorId="0" shapeId="0">
      <text>
        <r>
          <rPr>
            <sz val="10"/>
            <rFont val="Arial"/>
            <family val="2"/>
          </rPr>
          <t>Informar o valor do salário Mínimo Nacional</t>
        </r>
      </text>
    </comment>
    <comment ref="C66" authorId="0" shapeId="0">
      <text>
        <r>
          <rPr>
            <sz val="10"/>
            <rFont val="Arial"/>
            <family val="2"/>
          </rPr>
          <t>Informar o número de horas extras trabalhadas em horário diurno nos domingos e feriados</t>
        </r>
      </text>
    </comment>
    <comment ref="C67" authorId="0" shapeId="0">
      <text>
        <r>
          <rPr>
            <sz val="10"/>
            <rFont val="Arial"/>
            <family val="2"/>
          </rPr>
          <t xml:space="preserve">Informar o número de horas extras trabalhadas em horário diurno de segunda a sábado 
</t>
        </r>
      </text>
    </comment>
    <comment ref="A68" authorId="0" shapeId="0">
      <text>
        <r>
          <rPr>
            <sz val="10"/>
            <rFont val="Arial"/>
            <family val="2"/>
          </rPr>
          <t xml:space="preserve">Cálculo do descanso semanal remunerado incidente sobre as horas extras habitualmente prestadas. Considerada a média de 63 feriados + domingos e 302 dias trabalhados por ano
</t>
        </r>
      </text>
    </comment>
    <comment ref="C69" authorId="0" shapeId="0">
      <text>
        <r>
          <rPr>
            <sz val="10"/>
            <rFont val="Arial"/>
            <family val="2"/>
          </rPr>
          <t xml:space="preserve">Informar 1 se a base de cálculo for o Salário Mínimo Nacional; Informar 2 se a base de cálculo for o Piso da Categoria; 
</t>
        </r>
      </text>
    </comment>
    <comment ref="C70" authorId="0" shapeId="0">
      <text>
        <r>
          <rPr>
            <sz val="10"/>
            <rFont val="Arial"/>
            <family val="2"/>
          </rPr>
          <t>Percentual estabelecido nas Normas de Segurança de Trabalho ou pelo laudo de responsável técnico devidamente habilitado</t>
        </r>
      </text>
    </comment>
    <comment ref="C72" authorId="0" shapeId="0">
      <text>
        <r>
          <rPr>
            <sz val="10"/>
            <rFont val="Arial"/>
            <family val="2"/>
          </rPr>
          <t xml:space="preserve">Preencher a planilha Encargos Sociais e CAGED </t>
        </r>
      </text>
    </comment>
    <comment ref="C74" authorId="0" shapeId="0">
      <text>
        <r>
          <rPr>
            <sz val="10"/>
            <rFont val="Arial"/>
            <family val="2"/>
          </rPr>
          <t>Informar a quantidade de trabalhadores na função</t>
        </r>
      </text>
    </comment>
    <comment ref="D80" authorId="0" shapeId="0">
      <text>
        <r>
          <rPr>
            <sz val="10"/>
            <rFont val="Arial"/>
            <family val="2"/>
          </rPr>
          <t>Informar o valor unitário do VT no município</t>
        </r>
      </text>
    </comment>
    <comment ref="C81" authorId="0" shapeId="0">
      <text>
        <r>
          <rPr>
            <sz val="10"/>
            <rFont val="Arial"/>
            <family val="2"/>
          </rPr>
          <t>Informar o número médio de dias trabalhados por mês</t>
        </r>
      </text>
    </comment>
    <comment ref="D82" authorId="0" shapeId="0">
      <text>
        <r>
          <rPr>
            <sz val="10"/>
            <rFont val="Arial"/>
            <family val="2"/>
          </rPr>
          <t>Valor Unitário considerando o desconto legal de até 6% do salário</t>
        </r>
      </text>
    </comment>
    <comment ref="D83" authorId="0" shapeId="0">
      <text>
        <r>
          <rPr>
            <sz val="10"/>
            <rFont val="Arial"/>
            <family val="2"/>
          </rPr>
          <t xml:space="preserve">Valor Unitário considerando o desconto legal de até 6% do salário
</t>
        </r>
      </text>
    </comment>
    <comment ref="D88" authorId="0" shapeId="0">
      <text>
        <r>
          <rPr>
            <sz val="10"/>
            <rFont val="Arial"/>
            <family val="2"/>
          </rPr>
          <t>Informar o valor mensal do auxilio alimentação, considerando o desconto aplicável ao funcionário, conforme Convenção Coletiva da categoria</t>
        </r>
      </text>
    </comment>
    <comment ref="D89" authorId="0" shapeId="0">
      <text>
        <r>
          <rPr>
            <sz val="10"/>
            <rFont val="Arial"/>
            <family val="2"/>
          </rPr>
          <t>Informar o valor mensal do auxilio alimentação, considerando o desconto aplicável ao funcionário, conforme Convenção Coletiva da categoria</t>
        </r>
      </text>
    </comment>
    <comment ref="C99" authorId="0" shapeId="0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99" authorId="0" shapeId="0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100" authorId="0" shapeId="0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100" authorId="0" shapeId="0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101" authorId="0" shapeId="0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101" authorId="0" shapeId="0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102" authorId="0" shapeId="0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102" authorId="0" shapeId="0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103" authorId="0" shapeId="0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103" authorId="0" shapeId="0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104" authorId="0" shapeId="0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104" authorId="0" shapeId="0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105" authorId="0" shapeId="0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105" authorId="0" shapeId="0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106" authorId="0" shapeId="0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106" authorId="0" shapeId="0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114" authorId="0" shapeId="0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C115" authorId="0" shapeId="0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C116" authorId="0" shapeId="0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C117" authorId="0" shapeId="0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C118" authorId="0" shapeId="0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C119" authorId="0" shapeId="0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132" authorId="0" shapeId="0">
      <text>
        <r>
          <rPr>
            <sz val="10"/>
            <rFont val="Arial"/>
            <family val="2"/>
          </rPr>
          <t>Informar o preço unitário do chassis do caminhão de coleta</t>
        </r>
      </text>
    </comment>
    <comment ref="C133" authorId="0" shapeId="0">
      <text>
        <r>
          <rPr>
            <sz val="10"/>
            <rFont val="Arial"/>
            <family val="2"/>
          </rPr>
          <t>Informar a vida útil estimada para o caminhão, em anos</t>
        </r>
      </text>
    </comment>
    <comment ref="C134" authorId="0" shapeId="0">
      <text>
        <r>
          <rPr>
            <sz val="10"/>
            <rFont val="Arial"/>
            <family val="2"/>
          </rPr>
          <t>Na elaboração do orçamento-base da licitação, informar 0 (zero). Na proposta da licitante, informar a idade do veículo proposto.</t>
        </r>
      </text>
    </comment>
    <comment ref="C135" authorId="0" shapeId="0">
      <text>
        <r>
          <rPr>
            <sz val="10"/>
            <rFont val="Arial"/>
            <family val="2"/>
          </rPr>
          <t xml:space="preserve">Informar o valor da depreciação do caminhão, adotando o valor sugerido pelo TCE ou outro valor estimado 
</t>
        </r>
      </text>
    </comment>
    <comment ref="D137" authorId="0" shapeId="0">
      <text>
        <r>
          <rPr>
            <sz val="10"/>
            <rFont val="Arial"/>
            <family val="2"/>
          </rPr>
          <t xml:space="preserve">Informar o preço unitário do equipamento compactador
</t>
        </r>
      </text>
    </comment>
    <comment ref="C138" authorId="0" shapeId="0">
      <text>
        <r>
          <rPr>
            <sz val="10"/>
            <rFont val="Arial"/>
            <family val="2"/>
          </rPr>
          <t>Informar a vida útil estimada para o compactador, em anos</t>
        </r>
      </text>
    </comment>
    <comment ref="C139" authorId="0" shapeId="0">
      <text>
        <r>
          <rPr>
            <sz val="10"/>
            <rFont val="Arial"/>
            <family val="2"/>
          </rPr>
          <t>Na elaboração do orçamento-base da licitação, informar 0 (zero). Na proposta da licitante, informar a idade do compactador proposto.</t>
        </r>
      </text>
    </comment>
    <comment ref="C140" authorId="0" shapeId="0">
      <text>
        <r>
          <rPr>
            <sz val="10"/>
            <rFont val="Arial"/>
            <family val="2"/>
          </rPr>
          <t xml:space="preserve">Informar o valor da depreciação do compactador, adotando o valor sugerido pelo TCE ou outro valor estimado 
</t>
        </r>
      </text>
    </comment>
    <comment ref="C143" authorId="0" shapeId="0">
      <text>
        <r>
          <rPr>
            <sz val="10"/>
            <rFont val="Arial"/>
            <family val="2"/>
          </rPr>
          <t>Informar a quantidade de caminhões compactadores do respectivo modelo</t>
        </r>
      </text>
    </comment>
    <comment ref="C149" authorId="0" shapeId="0">
      <text>
        <r>
          <rPr>
            <sz val="10"/>
            <rFont val="Arial"/>
            <family val="2"/>
          </rPr>
          <t xml:space="preserve">Informar a taxa de juros anual para remuneração do capital. Recomenda-se o uso da Taxa SELIC
</t>
        </r>
      </text>
    </comment>
    <comment ref="D165" authorId="0" shapeId="0">
      <text>
        <r>
          <rPr>
            <sz val="10"/>
            <rFont val="Arial"/>
            <family val="2"/>
          </rPr>
          <t xml:space="preserve">Informar o valor do seguro obrigatório e licenciamento anual de um caminhão
</t>
        </r>
      </text>
    </comment>
    <comment ref="D166" authorId="0" shapeId="0">
      <text>
        <r>
          <rPr>
            <sz val="10"/>
            <rFont val="Arial"/>
            <family val="2"/>
          </rPr>
          <t xml:space="preserve">Informar o valor do seguro contra terceiros de um caminhão, se houver previsão no Projeto Básico
</t>
        </r>
      </text>
    </comment>
    <comment ref="B172" authorId="0" shapeId="0">
      <text>
        <r>
          <rPr>
            <sz val="10"/>
            <rFont val="Arial"/>
            <family val="2"/>
          </rPr>
          <t xml:space="preserve">Informar a quilometragem mensal percorrida, de acordo com o projeto básico
</t>
        </r>
      </text>
    </comment>
    <comment ref="C175" authorId="0" shapeId="0">
      <text>
        <r>
          <rPr>
            <sz val="10"/>
            <rFont val="Arial"/>
            <family val="2"/>
          </rPr>
          <t>Informar o consumo estimado do veículo em km/l</t>
        </r>
      </text>
    </comment>
    <comment ref="D175" authorId="0" shapeId="0">
      <text>
        <r>
          <rPr>
            <sz val="10"/>
            <rFont val="Arial"/>
            <family val="2"/>
          </rPr>
          <t xml:space="preserve">Informar o preço unitário do combustivel
</t>
        </r>
      </text>
    </comment>
    <comment ref="C177" authorId="0" shapeId="0">
      <text>
        <r>
          <rPr>
            <sz val="10"/>
            <rFont val="Arial"/>
            <family val="2"/>
          </rPr>
          <t>Informar o consumo de óleo do motor a cada 1000km</t>
        </r>
      </text>
    </comment>
    <comment ref="D177" authorId="0" shapeId="0">
      <text>
        <r>
          <rPr>
            <sz val="10"/>
            <rFont val="Arial"/>
            <family val="2"/>
          </rPr>
          <t xml:space="preserve">Informar o preço unitário do litro do óleo do motor
</t>
        </r>
      </text>
    </comment>
    <comment ref="C179" authorId="0" shapeId="0">
      <text>
        <r>
          <rPr>
            <sz val="10"/>
            <rFont val="Arial"/>
            <family val="2"/>
          </rPr>
          <t>Informar o consumo de óleo da transmissão a cada 1000km</t>
        </r>
      </text>
    </comment>
    <comment ref="D179" authorId="0" shapeId="0">
      <text>
        <r>
          <rPr>
            <sz val="10"/>
            <rFont val="Arial"/>
            <family val="2"/>
          </rPr>
          <t xml:space="preserve">Informar o preço unitário do litro do óleo da transmissão
</t>
        </r>
      </text>
    </comment>
    <comment ref="C181" authorId="0" shapeId="0">
      <text>
        <r>
          <rPr>
            <sz val="10"/>
            <rFont val="Arial"/>
            <family val="2"/>
          </rPr>
          <t>Informar o consumo de óleo hidráulico a cada 1000km</t>
        </r>
      </text>
    </comment>
    <comment ref="D181" authorId="0" shapeId="0">
      <text>
        <r>
          <rPr>
            <sz val="10"/>
            <rFont val="Arial"/>
            <family val="2"/>
          </rPr>
          <t xml:space="preserve">Informar o preço unitário do litro do óleo hidráulico
</t>
        </r>
      </text>
    </comment>
    <comment ref="C183" authorId="0" shapeId="0">
      <text>
        <r>
          <rPr>
            <sz val="10"/>
            <rFont val="Arial"/>
            <family val="2"/>
          </rPr>
          <t>Informar o consumo de graxa a cada 1000km</t>
        </r>
      </text>
    </comment>
    <comment ref="D183" authorId="0" shapeId="0">
      <text>
        <r>
          <rPr>
            <sz val="10"/>
            <rFont val="Arial"/>
            <family val="2"/>
          </rPr>
          <t xml:space="preserve">Informar o preço unitário do litro da graxa
</t>
        </r>
      </text>
    </comment>
    <comment ref="D190" authorId="0" shapeId="0">
      <text>
        <r>
          <rPr>
            <sz val="10"/>
            <rFont val="Arial"/>
            <family val="2"/>
          </rPr>
          <t xml:space="preserve">Informar o custo de manutenção em R$/km rodado
</t>
        </r>
      </text>
    </comment>
    <comment ref="C195" authorId="0" shapeId="0">
      <text>
        <r>
          <rPr>
            <sz val="10"/>
            <rFont val="Arial"/>
            <family val="2"/>
          </rPr>
          <t>Informar a quantidade de pneus novos de 1 caminhão</t>
        </r>
      </text>
    </comment>
    <comment ref="D195" authorId="0" shapeId="0">
      <text>
        <r>
          <rPr>
            <sz val="10"/>
            <rFont val="Arial"/>
            <family val="2"/>
          </rPr>
          <t xml:space="preserve">Informar o preço unitário de cada pneu
</t>
        </r>
      </text>
    </comment>
    <comment ref="C196" authorId="0" shapeId="0">
      <text>
        <r>
          <rPr>
            <sz val="10"/>
            <rFont val="Arial"/>
            <family val="2"/>
          </rPr>
          <t>Informar o número de recapagens por pneu</t>
        </r>
      </text>
    </comment>
    <comment ref="D197" authorId="0" shapeId="0">
      <text>
        <r>
          <rPr>
            <sz val="10"/>
            <rFont val="Arial"/>
            <family val="2"/>
          </rPr>
          <t xml:space="preserve">Informar o preço unitário de cada recapagem
</t>
        </r>
      </text>
    </comment>
    <comment ref="C198" authorId="0" shapeId="0">
      <text>
        <r>
          <rPr>
            <sz val="10"/>
            <rFont val="Arial"/>
            <family val="2"/>
          </rPr>
          <t xml:space="preserve">Informar a durabilidade média dos pneus considerando todas as recapagens, em km
</t>
        </r>
      </text>
    </comment>
    <comment ref="C208" authorId="0" shapeId="0">
      <text>
        <r>
          <rPr>
            <sz val="10"/>
            <rFont val="Arial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08" authorId="0" shapeId="0">
      <text>
        <r>
          <rPr>
            <sz val="10"/>
            <rFont val="Arial"/>
            <family val="2"/>
          </rPr>
          <t>Informar o valor unitário estimado para aquisição de cada material</t>
        </r>
      </text>
    </comment>
    <comment ref="C209" authorId="0" shapeId="0">
      <text>
        <r>
          <rPr>
            <sz val="10"/>
            <rFont val="Arial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09" authorId="0" shapeId="0">
      <text>
        <r>
          <rPr>
            <sz val="10"/>
            <rFont val="Arial"/>
            <family val="2"/>
          </rPr>
          <t>Informar o valor unitário estimado para aquisição de cada material</t>
        </r>
      </text>
    </comment>
    <comment ref="C210" authorId="0" shapeId="0">
      <text>
        <r>
          <rPr>
            <sz val="10"/>
            <rFont val="Arial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10" authorId="0" shapeId="0">
      <text>
        <r>
          <rPr>
            <sz val="10"/>
            <rFont val="Arial"/>
            <family val="2"/>
          </rPr>
          <t>Informar o valor unitário estimado para aquisição de cada material</t>
        </r>
      </text>
    </comment>
    <comment ref="C211" authorId="0" shapeId="0">
      <text>
        <r>
          <rPr>
            <sz val="10"/>
            <rFont val="Arial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11" authorId="0" shapeId="0">
      <text>
        <r>
          <rPr>
            <sz val="10"/>
            <rFont val="Arial"/>
            <family val="2"/>
          </rPr>
          <t>Informar o valor unitário estimado para aquisição de cada material</t>
        </r>
      </text>
    </comment>
    <comment ref="C212" authorId="0" shapeId="0">
      <text>
        <r>
          <rPr>
            <sz val="10"/>
            <rFont val="Arial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12" authorId="0" shapeId="0">
      <text>
        <r>
          <rPr>
            <sz val="10"/>
            <rFont val="Arial"/>
            <family val="2"/>
          </rPr>
          <t>Informar o valor unitário estimado para aquisição de cada material</t>
        </r>
      </text>
    </comment>
    <comment ref="A218" authorId="0" shapeId="0">
      <text>
        <r>
          <rPr>
            <sz val="10"/>
            <rFont val="Arial"/>
            <family val="2"/>
          </rPr>
          <t xml:space="preserve">Especificar somente quando for exigido no Projeto Básico
</t>
        </r>
      </text>
    </comment>
    <comment ref="D221" authorId="0" shapeId="0">
      <text>
        <r>
          <rPr>
            <sz val="10"/>
            <rFont val="Arial"/>
            <family val="2"/>
          </rPr>
          <t>Informar o valor total para instalação do equipamento de monitoramento da frota, se houver previsão no Projeto Básico</t>
        </r>
      </text>
    </comment>
    <comment ref="D223" authorId="0" shapeId="0">
      <text>
        <r>
          <rPr>
            <sz val="10"/>
            <rFont val="Arial"/>
            <family val="2"/>
          </rPr>
          <t>Informar o valor unitário mensal para manutenção dos equipamentos de monitoramento</t>
        </r>
      </text>
    </comment>
    <comment ref="C232" authorId="0" shapeId="0">
      <text>
        <r>
          <rPr>
            <sz val="10"/>
            <rFont val="Arial"/>
            <family val="2"/>
          </rPr>
          <t>Preencher a aba 4.BDI</t>
        </r>
      </text>
    </comment>
    <comment ref="C243" authorId="0" shapeId="0">
      <text>
        <r>
          <rPr>
            <sz val="10"/>
            <rFont val="Arial"/>
            <family val="2"/>
          </rPr>
          <t>Preencher a aba 4.BDI</t>
        </r>
      </text>
    </comment>
    <comment ref="D252" authorId="0" shapeId="0">
      <text>
        <r>
          <rPr>
            <sz val="10"/>
            <rFont val="Arial"/>
            <family val="2"/>
          </rPr>
          <t xml:space="preserve">Informar a quantidade média coletada nos últimos 12 meses
</t>
        </r>
      </text>
    </comment>
  </commentList>
</comments>
</file>

<file path=xl/comments3.xml><?xml version="1.0" encoding="utf-8"?>
<comments xmlns="http://schemas.openxmlformats.org/spreadsheetml/2006/main">
  <authors>
    <author>Autor desconhecido</author>
  </authors>
  <commentList>
    <comment ref="C13" authorId="0" shapeId="0">
      <text>
        <r>
          <rPr>
            <sz val="10"/>
            <rFont val="Arial"/>
            <family val="2"/>
          </rPr>
          <t xml:space="preserve">Informar o % de Administração Central estimado
</t>
        </r>
      </text>
    </comment>
    <comment ref="C14" authorId="0" shapeId="0">
      <text>
        <r>
          <rPr>
            <sz val="10"/>
            <rFont val="Arial"/>
            <family val="2"/>
          </rPr>
          <t xml:space="preserve">Informar o % de Seguros, Riscos e Garantia estimado
</t>
        </r>
      </text>
    </comment>
    <comment ref="C15" authorId="0" shapeId="0">
      <text>
        <r>
          <rPr>
            <sz val="10"/>
            <rFont val="Arial"/>
            <family val="2"/>
          </rPr>
          <t xml:space="preserve">Informar o % de Lucro estimado
</t>
        </r>
      </text>
    </comment>
    <comment ref="E16" authorId="0" shapeId="0">
      <text>
        <r>
          <rPr>
            <sz val="10"/>
            <rFont val="Arial"/>
            <family val="2"/>
          </rPr>
          <t>Informar o valor anual da taxa financeira, em percentual. Admite-se utilizar a SELIC</t>
        </r>
      </text>
    </comment>
    <comment ref="C17" authorId="0" shapeId="0">
      <text>
        <r>
          <rPr>
            <sz val="10"/>
            <rFont val="Arial"/>
            <family val="2"/>
          </rPr>
          <t xml:space="preserve">Informar o percentual de ISS, de acordo com a legislação tributária do município onde serão prestados os serviços. De 2% até o limite de 5%.
</t>
        </r>
      </text>
    </comment>
    <comment ref="E17" authorId="0" shapeId="0">
      <text>
        <r>
          <rPr>
            <sz val="10"/>
            <rFont val="Arial"/>
            <family val="2"/>
          </rPr>
          <t xml:space="preserve">Informar a média de dias úteis entre data de pagamento prevista no contrato e a data final do período de adimplemento da parcela
</t>
        </r>
      </text>
    </comment>
    <comment ref="C18" authorId="0" shapeId="0">
      <text>
        <r>
          <rPr>
            <sz val="10"/>
            <rFont val="Arial"/>
            <family val="2"/>
          </rPr>
          <t xml:space="preserve">Informar o valor estimado de PIS/COFINS. 
</t>
        </r>
        <r>
          <rPr>
            <sz val="9"/>
            <color rgb="FF000000"/>
            <rFont val="Tahoma"/>
            <family val="2"/>
            <charset val="1"/>
          </rPr>
          <t>1. Adotar 0,65% PIS + 3% COFINS quando o valor anual estimado do contrato for inferior ao limite para tributação pelo regime de incidência não-cumulativa (lucro presumido);
2. Adotar 1,65% PIS + 7,6% COFINS quando o valor anual estimado do contrato for superior ao limite para tributação pelo regime de incidência não-cumulativa (lucro real);</t>
        </r>
      </text>
    </comment>
  </commentList>
</comments>
</file>

<file path=xl/comments4.xml><?xml version="1.0" encoding="utf-8"?>
<comments xmlns="http://schemas.openxmlformats.org/spreadsheetml/2006/main">
  <authors>
    <author>Autor desconhecido</author>
  </authors>
  <commentList>
    <comment ref="C12" authorId="0" shapeId="0">
      <text>
        <r>
          <rPr>
            <sz val="10"/>
            <rFont val="Arial"/>
            <family val="2"/>
          </rPr>
          <t>Informar a população do município a ser atendida</t>
        </r>
      </text>
    </comment>
    <comment ref="C13" authorId="0" shapeId="0">
      <text>
        <r>
          <rPr>
            <sz val="10"/>
            <rFont val="Arial"/>
            <family val="2"/>
          </rPr>
          <t>Caso o município possua informações de pesagem, ajustar com o valor da geração média per capita realizada nos últimos 12 meses</t>
        </r>
      </text>
    </comment>
    <comment ref="C14" authorId="0" shapeId="0">
      <text>
        <r>
          <rPr>
            <sz val="10"/>
            <rFont val="Arial"/>
            <family val="2"/>
          </rPr>
          <t>retorna a geração diária a ser recolhida</t>
        </r>
      </text>
    </comment>
    <comment ref="C16" authorId="0" shapeId="0">
      <text>
        <r>
          <rPr>
            <sz val="10"/>
            <rFont val="Arial"/>
            <family val="2"/>
          </rPr>
          <t>Informe o número de dias de coleta por semana</t>
        </r>
      </text>
    </comment>
    <comment ref="C19" authorId="0" shapeId="0">
      <text>
        <r>
          <rPr>
            <sz val="10"/>
            <rFont val="Arial"/>
            <family val="2"/>
          </rPr>
          <t>Informar 1 para caminhão toco; Informar 2 para caminhão truck</t>
        </r>
        <r>
          <rPr>
            <b/>
            <sz val="8"/>
            <color rgb="FF000000"/>
            <rFont val="Tahoma"/>
            <family val="2"/>
            <charset val="1"/>
          </rPr>
          <t xml:space="preserve"> </t>
        </r>
      </text>
    </comment>
    <comment ref="C20" authorId="0" shapeId="0">
      <text>
        <r>
          <rPr>
            <sz val="10"/>
            <rFont val="Arial"/>
            <family val="2"/>
          </rPr>
          <t>Informar a capacidade do compactador em m³</t>
        </r>
      </text>
    </comment>
    <comment ref="C23" authorId="0" shapeId="0">
      <text>
        <r>
          <rPr>
            <sz val="10"/>
            <rFont val="Arial"/>
            <family val="2"/>
          </rPr>
          <t xml:space="preserve">Informar o número de percursos de coleta (cargas) que cada caminhão realiza por dia, considerando todos os turnos de trabalho. </t>
        </r>
      </text>
    </comment>
  </commentList>
</comments>
</file>

<file path=xl/sharedStrings.xml><?xml version="1.0" encoding="utf-8"?>
<sst xmlns="http://schemas.openxmlformats.org/spreadsheetml/2006/main" count="839" uniqueCount="313">
  <si>
    <t>TABELA DE RESUMO</t>
  </si>
  <si>
    <t>Item</t>
  </si>
  <si>
    <t>Descrição</t>
  </si>
  <si>
    <t>Unidade</t>
  </si>
  <si>
    <t>Quant.</t>
  </si>
  <si>
    <t>Valor Unitário</t>
  </si>
  <si>
    <t>Valor Mensal</t>
  </si>
  <si>
    <t>Ton.</t>
  </si>
  <si>
    <t xml:space="preserve">Coleta seletiva e transporte </t>
  </si>
  <si>
    <t>Mês</t>
  </si>
  <si>
    <t>Triagem e disposição final de material reciclável</t>
  </si>
  <si>
    <t>Coleta, transporte e disposição final de resíduos volumosos</t>
  </si>
  <si>
    <t>M³</t>
  </si>
  <si>
    <t>Valor total mensal estimado:</t>
  </si>
  <si>
    <t>Valor total anual estimado:</t>
  </si>
  <si>
    <t>Orçamento Estimado
Município de Catanduvas/SC</t>
  </si>
  <si>
    <t>Planilha de Composição de Custos</t>
  </si>
  <si>
    <t>Descrição do Item</t>
  </si>
  <si>
    <t>Custo (R$/mês)</t>
  </si>
  <si>
    <t>%</t>
  </si>
  <si>
    <t>PREÇO TOTAL MENSAL COM A COLETA</t>
  </si>
  <si>
    <t>Quantitativos</t>
  </si>
  <si>
    <t>Mão-de-obra</t>
  </si>
  <si>
    <t>Quantidade</t>
  </si>
  <si>
    <t>Total de mão-de-obra (postos de trabalho)</t>
  </si>
  <si>
    <t>Fator de utilização Mão de Obra (FU)</t>
  </si>
  <si>
    <t>Veículos e Equipamentos</t>
  </si>
  <si>
    <t>Fator de utilização Veículo e Equipamento (FU)</t>
  </si>
  <si>
    <t>1. Mão-de-obra</t>
  </si>
  <si>
    <t>1.1. Coletor Turno Dia</t>
  </si>
  <si>
    <t>Discriminação</t>
  </si>
  <si>
    <t>Custo unitário</t>
  </si>
  <si>
    <t>Subtotal</t>
  </si>
  <si>
    <r>
      <rPr>
        <b/>
        <sz val="9"/>
        <rFont val="Arial"/>
        <family val="2"/>
        <charset val="1"/>
      </rPr>
      <t xml:space="preserve">Total </t>
    </r>
    <r>
      <rPr>
        <b/>
        <u/>
        <sz val="9"/>
        <rFont val="Arial"/>
        <family val="2"/>
        <charset val="1"/>
      </rPr>
      <t>(R$)</t>
    </r>
  </si>
  <si>
    <t>Piso da categoria</t>
  </si>
  <si>
    <t>mês</t>
  </si>
  <si>
    <t>Horas Extras (100%)</t>
  </si>
  <si>
    <t>hora</t>
  </si>
  <si>
    <t>Horas Extras (50%)</t>
  </si>
  <si>
    <t>Descanso Semanal Remunerado (DSR) - hora extra</t>
  </si>
  <si>
    <t>R$</t>
  </si>
  <si>
    <t>Adicional de Insalubridade</t>
  </si>
  <si>
    <t>Soma</t>
  </si>
  <si>
    <t>Encargos Sociais</t>
  </si>
  <si>
    <t>Total por Coletor</t>
  </si>
  <si>
    <t>Total do Efetivo</t>
  </si>
  <si>
    <t>homem</t>
  </si>
  <si>
    <t>Fator de utilização</t>
  </si>
  <si>
    <t>1.2. Motorista Turno do Dia</t>
  </si>
  <si>
    <t>Piso da categoria (2)</t>
  </si>
  <si>
    <t>Salário mínimo nacional (1)</t>
  </si>
  <si>
    <t>Base de cálculo da Insalubridade</t>
  </si>
  <si>
    <t>Total por Motorista</t>
  </si>
  <si>
    <t>1.3. Vale Transporte</t>
  </si>
  <si>
    <t>Vale Transporte</t>
  </si>
  <si>
    <t>Dias Trabalhados por mês</t>
  </si>
  <si>
    <t>dia</t>
  </si>
  <si>
    <t>Coletor</t>
  </si>
  <si>
    <t>vale</t>
  </si>
  <si>
    <t>Motorista</t>
  </si>
  <si>
    <t>1.4. Auxílio Alimentação (mensal)</t>
  </si>
  <si>
    <t>unidade</t>
  </si>
  <si>
    <t>Custo Mensal com Mão-de-obra (R$/mês)</t>
  </si>
  <si>
    <t>2. Uniformes e Equipamentos de Proteção Individual</t>
  </si>
  <si>
    <t>2.1. Uniformes e EPIs para Coletor</t>
  </si>
  <si>
    <t>Durabilidade (meses)</t>
  </si>
  <si>
    <t>Jaqueta com reflexivo (NBR 15.292)</t>
  </si>
  <si>
    <t>Calça</t>
  </si>
  <si>
    <t>Camiseta</t>
  </si>
  <si>
    <t>Boné</t>
  </si>
  <si>
    <t>Tênis de segurança c/ palmilha aço</t>
  </si>
  <si>
    <t>par</t>
  </si>
  <si>
    <t>Capa de chuva amarela com reflexivo</t>
  </si>
  <si>
    <t>Luva de proteção</t>
  </si>
  <si>
    <t>Protetor solar FPS 30</t>
  </si>
  <si>
    <t>frasco 120g</t>
  </si>
  <si>
    <t xml:space="preserve">Óculos de sol </t>
  </si>
  <si>
    <t>2.2. Uniformes e EPIs para demais categorias</t>
  </si>
  <si>
    <t>Custo Mensal com Uniformes e EPIs (R$/mês)</t>
  </si>
  <si>
    <t>3. Veículos e Equipamentos</t>
  </si>
  <si>
    <t>3.1. Veículo Coletor Compactador 19 m³</t>
  </si>
  <si>
    <t>3.1.1. Depreciação</t>
  </si>
  <si>
    <t>Custo de aquisição do chassis</t>
  </si>
  <si>
    <t>Vida útil do chassis</t>
  </si>
  <si>
    <t>anos</t>
  </si>
  <si>
    <t>Idade do veículo</t>
  </si>
  <si>
    <t>Depreciação do chassis</t>
  </si>
  <si>
    <t>Depreciação mensal veículos coletores</t>
  </si>
  <si>
    <t>Custo de aquisição do compactador</t>
  </si>
  <si>
    <t>Vida útil do compactador</t>
  </si>
  <si>
    <t>Idade do compactador</t>
  </si>
  <si>
    <t>Depreciação do compactador</t>
  </si>
  <si>
    <t>Depreciação mensal do compactador</t>
  </si>
  <si>
    <t>Total por veículo</t>
  </si>
  <si>
    <t>Total da frota</t>
  </si>
  <si>
    <t>3.1.2. Remuneração do Capital</t>
  </si>
  <si>
    <t>Custo do chassis</t>
  </si>
  <si>
    <t>Taxa de juros anual nominal</t>
  </si>
  <si>
    <t>Valor do veículo proposto (V0)</t>
  </si>
  <si>
    <t>Investimento médio total do chassis</t>
  </si>
  <si>
    <t>Remuneração mensal de capital do chassis</t>
  </si>
  <si>
    <t>Custo do compactador</t>
  </si>
  <si>
    <t>Valor do compactador proposto (V0)</t>
  </si>
  <si>
    <t>Investimento médio total do compactador</t>
  </si>
  <si>
    <t>Remuneração mensal de capital do compactador</t>
  </si>
  <si>
    <t>3.1.3. Impostos e Seguros</t>
  </si>
  <si>
    <t>IPVA</t>
  </si>
  <si>
    <t>Licenciamento e Seguro obrigatório</t>
  </si>
  <si>
    <t>Seguro contra terceiros</t>
  </si>
  <si>
    <t>Impostos e seguros mensais</t>
  </si>
  <si>
    <t>3.1.4. Consumos</t>
  </si>
  <si>
    <t>Quilometragem mensal</t>
  </si>
  <si>
    <t>Consumo</t>
  </si>
  <si>
    <t>Custo de óleo diesel / km rodado</t>
  </si>
  <si>
    <t>km/l</t>
  </si>
  <si>
    <t>Custo mensal com óleo diesel</t>
  </si>
  <si>
    <t>km</t>
  </si>
  <si>
    <t>Custo de óleo do motor /1.000 km rodados</t>
  </si>
  <si>
    <t>l/1.000 km</t>
  </si>
  <si>
    <t>Custo mensal com óleo do motor</t>
  </si>
  <si>
    <t>Custo de óleo da transmissão /1.000 km</t>
  </si>
  <si>
    <t>Custo mensal com óleo da transmissão</t>
  </si>
  <si>
    <t>Custo de óleo hidráulico / 1.000 km</t>
  </si>
  <si>
    <t>Custo mensal com óleo hidráulico</t>
  </si>
  <si>
    <t>Custo de graxa /1.000 km rodados</t>
  </si>
  <si>
    <t>kg/1.000 km</t>
  </si>
  <si>
    <t>Custo mensal com graxa</t>
  </si>
  <si>
    <t>Custo com consumos/km rodado</t>
  </si>
  <si>
    <t>R$/km rodado</t>
  </si>
  <si>
    <t>3.1.5. Manutenção</t>
  </si>
  <si>
    <t>Custo de manutenção dos caminhões</t>
  </si>
  <si>
    <t>3.1.6. Pneus</t>
  </si>
  <si>
    <t>Custo do jogo de pneus 275/80 R22,5</t>
  </si>
  <si>
    <t>Número de recapagens por pneu</t>
  </si>
  <si>
    <t>Custo de recapagem</t>
  </si>
  <si>
    <t>Custo jg. compl. + 2 recap./ km rodado</t>
  </si>
  <si>
    <t>km/jogo</t>
  </si>
  <si>
    <t>Custo mensal com pneus</t>
  </si>
  <si>
    <t>Custo Mensal com Veículos e Equipamentos (R$/mês)</t>
  </si>
  <si>
    <t>4. Ferramentas e Materiais de Consumo</t>
  </si>
  <si>
    <t>Recipiente térmico para água (5L)</t>
  </si>
  <si>
    <t>Pá de Concha</t>
  </si>
  <si>
    <t>Vassoura</t>
  </si>
  <si>
    <t>Publicidade (adesivos equipamentos)</t>
  </si>
  <si>
    <t>cj</t>
  </si>
  <si>
    <t>Publicidade (adesivos veículos)</t>
  </si>
  <si>
    <t>Custo Mensal com Ferramentas e Materiais de Consumo (R$/mês)</t>
  </si>
  <si>
    <t>5. Monitoramento da Frota</t>
  </si>
  <si>
    <t>Implantação dos equipamentos de monitoramento</t>
  </si>
  <si>
    <t>Custo mensal com implantação</t>
  </si>
  <si>
    <t>Manutenção dos equipamentos de monitoramento</t>
  </si>
  <si>
    <t>Custo mensal com manutenção</t>
  </si>
  <si>
    <t>Custo Mensal com Monitoramento da Frota (R$/mês)</t>
  </si>
  <si>
    <t>CUSTO TOTAL MENSAL COM DESPESAS OPERACIONAIS (R$/mês)</t>
  </si>
  <si>
    <t>6. Benefícios e Despesas Indiretas - BDI</t>
  </si>
  <si>
    <t>Benefícios e despesas indiretas</t>
  </si>
  <si>
    <t>CUSTO MENSAL COM BDI (R$/mês)</t>
  </si>
  <si>
    <t>PREÇO MENSAL TOTAL (R$/mês)</t>
  </si>
  <si>
    <t xml:space="preserve">Quantidade média de resíduos coletados por mês: </t>
  </si>
  <si>
    <t>PREÇO POR TONELADA COLETADA:  [A/B]</t>
  </si>
  <si>
    <t>1. Coleta Seletiva manual e mecanizada de resíduos sólidos urbanos (recicláveis) com características domiciliares, gerados em residências, estabelecimentos comerciais, industriais e de prestação de serviços públicos, dispostos em vias e logradouros públicos localizados dentro do perímetro urbano do município.</t>
  </si>
  <si>
    <t>1. Coleta manual e mecanizada de resíduos sólidos urbanos inservíveis classe IIA (volumosos) com características domiciliares, gerados em residências, estabelecimentos comerciais, industriais e de prestação de serviços públicos, dispostos em vias e logradouros públicos localizados dentro do perímetro urbano do município.</t>
  </si>
  <si>
    <t>6. Tratamento e Destino Final de Resíduos Volumosos</t>
  </si>
  <si>
    <t>m³</t>
  </si>
  <si>
    <t>Custo Mensal com Tratamento e Destino Final de Resíduos Volumosos (R$/mês)</t>
  </si>
  <si>
    <t>7. Benefícios e Despesas Indiretas - BDI</t>
  </si>
  <si>
    <t>R$/m³</t>
  </si>
  <si>
    <t>Orientações para preenchimento:</t>
  </si>
  <si>
    <t>1. Preencha previamente os dados de entrada na planilha 3.CAGED</t>
  </si>
  <si>
    <t>O orçamento deve ser realizado por responsável técnico habilitado e é de responsabilidade do seu autor.</t>
  </si>
  <si>
    <t xml:space="preserve">2. Composição dos Encargos Sociais </t>
  </si>
  <si>
    <t>Código</t>
  </si>
  <si>
    <t>Valor</t>
  </si>
  <si>
    <t>A1</t>
  </si>
  <si>
    <t>INSS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</si>
  <si>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</si>
  <si>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</si>
  <si>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</si>
  <si>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</si>
  <si>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</si>
  <si>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</si>
  <si>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</si>
  <si>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</si>
  <si>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</si>
  <si>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</si>
  <si>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</si>
  <si>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</si>
  <si>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</si>
  <si>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FGTS</t>
  </si>
  <si>
    <t>A</t>
  </si>
  <si>
    <t>SOMA GRUPO A</t>
  </si>
  <si>
    <t>B1</t>
  </si>
  <si>
    <t>Férias gozadas</t>
  </si>
  <si>
    <t>B2</t>
  </si>
  <si>
    <t>13º salário</t>
  </si>
  <si>
    <t>B3</t>
  </si>
  <si>
    <t>Licença Paternidade</t>
  </si>
  <si>
    <t>B4</t>
  </si>
  <si>
    <t>Faltas justificadas</t>
  </si>
  <si>
    <t>B5</t>
  </si>
  <si>
    <t>Auxilio acidente de trabalho</t>
  </si>
  <si>
    <t>B</t>
  </si>
  <si>
    <t>SOMA GRUPO B</t>
  </si>
  <si>
    <t>C1</t>
  </si>
  <si>
    <t>Aviso prévio indenizado</t>
  </si>
  <si>
    <t>C2</t>
  </si>
  <si>
    <t xml:space="preserve">Férias indenizadas </t>
  </si>
  <si>
    <t>C3</t>
  </si>
  <si>
    <t>Férias indenizadas s/ aviso previo inden.</t>
  </si>
  <si>
    <t>C4</t>
  </si>
  <si>
    <t>Depósito rescisão sem justa causa</t>
  </si>
  <si>
    <t>C5</t>
  </si>
  <si>
    <t>Indenização adicional</t>
  </si>
  <si>
    <t>C</t>
  </si>
  <si>
    <t>SOMA GRUPO C</t>
  </si>
  <si>
    <t>D1</t>
  </si>
  <si>
    <t>Reincidência de Grupo A sobre Grupo B</t>
  </si>
  <si>
    <t>D2</t>
  </si>
  <si>
    <t>Reincidência de FGTS sobre aviso prévio indenizado</t>
  </si>
  <si>
    <t>D</t>
  </si>
  <si>
    <t>SOMA GRUPO D</t>
  </si>
  <si>
    <t>SOMA (A+B+C+D)</t>
  </si>
  <si>
    <t>CÁLCULO DAS VERBAS INDENIZATÓRIAS DOS EMPREGADOS NO SETOR DE COLETA DE RSU</t>
  </si>
  <si>
    <t>Tendo em vista que o CAGED foi descontinuado em janeiro de 2020, esta planilha foi atualizada até 31/12/2019.</t>
  </si>
  <si>
    <t>Preencha as células em amarelo</t>
  </si>
  <si>
    <t>3. CAGED</t>
  </si>
  <si>
    <t>Coleta de Resíduos Não-Perigosos - CNAE 38114</t>
  </si>
  <si>
    <t>Admissões</t>
  </si>
  <si>
    <t>Desligamentos</t>
  </si>
  <si>
    <t>Dispensados com justa causa</t>
  </si>
  <si>
    <t>Dispensados sem justa causa</t>
  </si>
  <si>
    <t>Espontâneos</t>
  </si>
  <si>
    <t>Fim de contrato por prazo determinado</t>
  </si>
  <si>
    <t>Término de contrato</t>
  </si>
  <si>
    <t>Aposentados</t>
  </si>
  <si>
    <t>Mortos</t>
  </si>
  <si>
    <t>Transferência de saída</t>
  </si>
  <si>
    <t>Acordo</t>
  </si>
  <si>
    <t xml:space="preserve"> </t>
  </si>
  <si>
    <t>Indicadores</t>
  </si>
  <si>
    <t>Estoque recuperado início do Período 01-01-2019</t>
  </si>
  <si>
    <t>Estoque recuperado final do Período 31-12-2019</t>
  </si>
  <si>
    <t>Variação Emprego Absoluta de 01-01-2019 a 31-12-2019</t>
  </si>
  <si>
    <t>Estoque Médio</t>
  </si>
  <si>
    <t>% Demitidos s/ Justa Causa em relação ao Estoque Médio</t>
  </si>
  <si>
    <t>Taxa de Rotatividade</t>
  </si>
  <si>
    <t>Rotatividade temporal (meses)</t>
  </si>
  <si>
    <t>Dias ano</t>
  </si>
  <si>
    <t>1/3 de férias (dias)</t>
  </si>
  <si>
    <t>Férias (dias)</t>
  </si>
  <si>
    <t>13º Salário (dias)</t>
  </si>
  <si>
    <t>Dias de Aviso prévio</t>
  </si>
  <si>
    <t>Multa FGTS</t>
  </si>
  <si>
    <t>Ajustado, de acordo com a nova Lei Federal nº 13.932/2019</t>
  </si>
  <si>
    <t>1. Coleta  Regular de Lixo Organico (Domiciliar e Comercial)</t>
  </si>
  <si>
    <t>Composição do BDI - Benefícios e Despesas Indiretas</t>
  </si>
  <si>
    <t>Referência estudo TCE</t>
  </si>
  <si>
    <t>1° Quartil</t>
  </si>
  <si>
    <t>Médio</t>
  </si>
  <si>
    <t>3° Quartil</t>
  </si>
  <si>
    <t>Administração Central</t>
  </si>
  <si>
    <t>AC</t>
  </si>
  <si>
    <t>Seguros/Riscos/Garantias</t>
  </si>
  <si>
    <t>SRG</t>
  </si>
  <si>
    <t>Lucro</t>
  </si>
  <si>
    <t>L</t>
  </si>
  <si>
    <t>Despesas Financeiras</t>
  </si>
  <si>
    <t>DF</t>
  </si>
  <si>
    <t>i</t>
  </si>
  <si>
    <t>Tributos - ISS</t>
  </si>
  <si>
    <t>T</t>
  </si>
  <si>
    <t>DU</t>
  </si>
  <si>
    <t>Tributos - PIS/COFINS</t>
  </si>
  <si>
    <t>Fórmula para o cálculo do BDI:</t>
  </si>
  <si>
    <t>{[(1+AC+SRG) x (1+L) x (1+DF)] / (1-T)} -1</t>
  </si>
  <si>
    <t>Resultado do cálculo do BDI:</t>
  </si>
  <si>
    <t>5. Depreciação Referencial TCE/RS (%)</t>
  </si>
  <si>
    <t>Idade do veículo (ano)</t>
  </si>
  <si>
    <t>Depreciação Média</t>
  </si>
  <si>
    <t>6. Remuneração de Capital</t>
  </si>
  <si>
    <t>Fórmula de cálculo da remuneração de capital:</t>
  </si>
  <si>
    <r>
      <rPr>
        <sz val="12"/>
        <color theme="1"/>
        <rFont val="Arial"/>
        <family val="2"/>
        <charset val="1"/>
      </rPr>
      <t>J</t>
    </r>
    <r>
      <rPr>
        <vertAlign val="subscript"/>
        <sz val="12"/>
        <color rgb="FF000000"/>
        <rFont val="Arial"/>
        <family val="2"/>
        <charset val="1"/>
      </rPr>
      <t>m</t>
    </r>
    <r>
      <rPr>
        <sz val="12"/>
        <color rgb="FF000000"/>
        <rFont val="Arial"/>
        <family val="2"/>
        <charset val="1"/>
      </rPr>
      <t xml:space="preserve"> = remuneração de capital mensal</t>
    </r>
  </si>
  <si>
    <t>i = taxa de juros do mercado (sugere-se adotar a taxa SELIC)</t>
  </si>
  <si>
    <t>Im = investimento médio</t>
  </si>
  <si>
    <r>
      <rPr>
        <sz val="12"/>
        <color theme="1"/>
        <rFont val="Arial"/>
        <family val="2"/>
        <charset val="1"/>
      </rPr>
      <t>V</t>
    </r>
    <r>
      <rPr>
        <vertAlign val="subscript"/>
        <sz val="12"/>
        <color rgb="FF000000"/>
        <rFont val="Arial"/>
        <family val="2"/>
        <charset val="1"/>
      </rPr>
      <t>0</t>
    </r>
    <r>
      <rPr>
        <sz val="12"/>
        <color rgb="FF000000"/>
        <rFont val="Arial"/>
        <family val="2"/>
        <charset val="1"/>
      </rPr>
      <t xml:space="preserve"> = valor inicial do bem</t>
    </r>
  </si>
  <si>
    <r>
      <rPr>
        <sz val="12"/>
        <color theme="1"/>
        <rFont val="Arial"/>
        <family val="2"/>
        <charset val="1"/>
      </rPr>
      <t>V</t>
    </r>
    <r>
      <rPr>
        <vertAlign val="subscript"/>
        <sz val="12"/>
        <color rgb="FF000000"/>
        <rFont val="Arial"/>
        <family val="2"/>
        <charset val="1"/>
      </rPr>
      <t>r</t>
    </r>
    <r>
      <rPr>
        <sz val="12"/>
        <color rgb="FF000000"/>
        <rFont val="Arial"/>
        <family val="2"/>
        <charset val="1"/>
      </rPr>
      <t xml:space="preserve"> = valor residual do bem</t>
    </r>
  </si>
  <si>
    <t>n = vida útil do bem em anos</t>
  </si>
  <si>
    <t>1. Esta planilha é somente um modelo de cálculo expedito e deve ser ajustada conforme cada caso concreto.</t>
  </si>
  <si>
    <t>2. Dimensionar separadamente setores atendidos por veículos de capacidade de carga diferentes.</t>
  </si>
  <si>
    <t>3. Preencher somente células em amarelo</t>
  </si>
  <si>
    <t>7. Dimensionamento da frota</t>
  </si>
  <si>
    <t>Indicador</t>
  </si>
  <si>
    <t>Unid</t>
  </si>
  <si>
    <t>População (H)</t>
  </si>
  <si>
    <t>hab</t>
  </si>
  <si>
    <t>Geração per capita (G)</t>
  </si>
  <si>
    <t>Kg/hab.dia</t>
  </si>
  <si>
    <t>Geração total diária (Qd)</t>
  </si>
  <si>
    <t>ton/dia</t>
  </si>
  <si>
    <t>Geração Mensal</t>
  </si>
  <si>
    <t>ton</t>
  </si>
  <si>
    <t>Número de dias de coleta por semana (Dc)</t>
  </si>
  <si>
    <t>Quantitativo diário de coleta (Qc)</t>
  </si>
  <si>
    <t>Densidade RSU compactado</t>
  </si>
  <si>
    <t>Kg/m³</t>
  </si>
  <si>
    <t>Tipo de Veículo (1 = toco, 2 = truck)</t>
  </si>
  <si>
    <t>Capacidade do Compactador</t>
  </si>
  <si>
    <t>Capacidade nominal de carga (Cc)</t>
  </si>
  <si>
    <t>Número de Cargas por dia (Nc)</t>
  </si>
  <si>
    <t>Número total de percursos de coleta por veículo, por dia (Np)</t>
  </si>
  <si>
    <t>Número de veículos da Frota (F)</t>
  </si>
  <si>
    <t xml:space="preserve">PROCESSO LICITATÓRIO Nº                                                                                                                                         PREGÃO ELETRÔNICO Nº </t>
  </si>
  <si>
    <t>MUNICÍPIO DE CATANDUVAS/SC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</si>
</sst>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[$R$-416]\ #,##0.00;[Red]\-[$R$-416]\ #,##0.00"/>
    <numFmt numFmtId="165" formatCode="_(* #,##0.00_);_(* \(#,##0.00\);_(* \-??_);_(@_)"/>
    <numFmt numFmtId="166" formatCode="&quot;R$ &quot;#,##0.00"/>
    <numFmt numFmtId="167" formatCode="&quot;R$ &quot;#,##0.00_);&quot;(R$ &quot;#,##0.00\)"/>
    <numFmt numFmtId="168" formatCode="0.0"/>
    <numFmt numFmtId="169" formatCode="_(* #,##0_);_(* \(#,##0\);_(* \-??_);_(@_)"/>
    <numFmt numFmtId="170" formatCode="_(* #,##0.0_);_(* \(#,##0.0\);_(* \-??_);_(@_)"/>
    <numFmt numFmtId="171" formatCode="_-* #,##0.00_-;\-* #,##0.00_-;_-* \-??_-;_-@_-"/>
    <numFmt numFmtId="172" formatCode="_(* #,##0.000_);_(* \(#,##0.000\);_(* \-??_);_(@_)"/>
    <numFmt numFmtId="173" formatCode="0.0000"/>
    <numFmt numFmtId="174" formatCode="_-* #,##0.000_-;\-* #,##0.000_-;_-* \-??_-;_-@_-"/>
    <numFmt numFmtId="175" formatCode="_-* #,##0.00_-;\-* #,##0.00_-;_-* \-?_-;_-@_-"/>
    <numFmt numFmtId="176" formatCode="_-* #,##0_-;\-* #,##0_-;_-* \-?_-;_-@_-"/>
  </numFmts>
  <fonts count="33" x14ac:knownFonts="1">
    <font>
      <sz val="10"/>
      <name val="Arial"/>
      <charset val="1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b/>
      <sz val="12"/>
      <name val="Arial"/>
      <family val="2"/>
      <charset val="1"/>
    </font>
    <font>
      <b/>
      <sz val="10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b/>
      <sz val="9"/>
      <name val="Arial"/>
      <family val="2"/>
      <charset val="1"/>
    </font>
    <font>
      <b/>
      <u/>
      <sz val="9"/>
      <name val="Arial"/>
      <family val="2"/>
      <charset val="1"/>
    </font>
    <font>
      <sz val="8"/>
      <name val="Arial"/>
      <family val="2"/>
      <charset val="1"/>
    </font>
    <font>
      <u/>
      <sz val="10"/>
      <color rgb="FF0000FF"/>
      <name val="Arial"/>
      <family val="2"/>
      <charset val="1"/>
    </font>
    <font>
      <sz val="10"/>
      <color rgb="FF0000FF"/>
      <name val="Arial"/>
      <family val="2"/>
      <charset val="1"/>
    </font>
    <font>
      <sz val="10"/>
      <color rgb="FFFF0000"/>
      <name val="Arial"/>
      <family val="2"/>
      <charset val="1"/>
    </font>
    <font>
      <sz val="9"/>
      <name val="Arial"/>
      <family val="2"/>
      <charset val="1"/>
    </font>
    <font>
      <i/>
      <sz val="10"/>
      <name val="Arial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b/>
      <sz val="12"/>
      <color rgb="FFFF0000"/>
      <name val="Arial"/>
      <family val="2"/>
      <charset val="1"/>
    </font>
    <font>
      <b/>
      <sz val="14"/>
      <name val="Arial"/>
      <family val="2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3"/>
      <color theme="1"/>
      <name val="Arial"/>
      <family val="2"/>
      <charset val="1"/>
    </font>
    <font>
      <sz val="10"/>
      <color theme="1"/>
      <name val="Arial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theme="1"/>
      <name val="Arial"/>
      <family val="2"/>
      <charset val="1"/>
    </font>
    <font>
      <sz val="9"/>
      <color rgb="FF000000"/>
      <name val="Tahoma"/>
      <family val="2"/>
      <charset val="1"/>
    </font>
    <font>
      <sz val="12"/>
      <color theme="1"/>
      <name val="Arial"/>
      <family val="2"/>
      <charset val="1"/>
    </font>
    <font>
      <vertAlign val="subscript"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8"/>
      <color rgb="FF000000"/>
      <name val="Tahoma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99FF66"/>
        <bgColor rgb="FFEFF746"/>
      </patternFill>
    </fill>
    <fill>
      <patternFill patternType="solid">
        <fgColor rgb="FFFFFF00"/>
        <bgColor rgb="FFEFF746"/>
      </patternFill>
    </fill>
    <fill>
      <patternFill patternType="solid">
        <fgColor theme="3" tint="0.79979857783745845"/>
        <bgColor rgb="FFD9D9D9"/>
      </patternFill>
    </fill>
    <fill>
      <patternFill patternType="solid">
        <fgColor theme="0"/>
        <bgColor rgb="FFEEECE1"/>
      </patternFill>
    </fill>
    <fill>
      <patternFill patternType="solid">
        <fgColor theme="0" tint="-0.249977111117893"/>
        <bgColor rgb="FFA6A6A6"/>
      </patternFill>
    </fill>
    <fill>
      <patternFill patternType="solid">
        <fgColor theme="0" tint="-0.14999847407452621"/>
        <bgColor rgb="FFDDD9C3"/>
      </patternFill>
    </fill>
    <fill>
      <patternFill patternType="solid">
        <fgColor theme="0" tint="-0.34998626667073579"/>
        <bgColor rgb="FFBFBFBF"/>
      </patternFill>
    </fill>
    <fill>
      <patternFill patternType="solid">
        <fgColor theme="2" tint="-9.9978637043366805E-2"/>
        <bgColor rgb="FFD9D9D9"/>
      </patternFill>
    </fill>
    <fill>
      <patternFill patternType="solid">
        <fgColor theme="2"/>
        <bgColor rgb="FFD9D9D9"/>
      </patternFill>
    </fill>
  </fills>
  <borders count="5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165" fontId="3" fillId="0" borderId="0" applyBorder="0" applyProtection="0"/>
    <xf numFmtId="9" fontId="3" fillId="0" borderId="0" applyBorder="0" applyProtection="0"/>
    <xf numFmtId="0" fontId="11" fillId="0" borderId="0" applyBorder="0" applyProtection="0"/>
  </cellStyleXfs>
  <cellXfs count="307">
    <xf numFmtId="0" fontId="0" fillId="0" borderId="0" xfId="0"/>
    <xf numFmtId="0" fontId="0" fillId="0" borderId="0" xfId="0" applyAlignment="1" applyProtection="1"/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left"/>
    </xf>
    <xf numFmtId="0" fontId="2" fillId="0" borderId="1" xfId="0" applyFont="1" applyBorder="1" applyAlignment="1" applyProtection="1"/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0" fillId="0" borderId="1" xfId="0" applyFont="1" applyBorder="1" applyAlignment="1" applyProtection="1"/>
    <xf numFmtId="164" fontId="0" fillId="0" borderId="1" xfId="0" applyNumberFormat="1" applyBorder="1" applyAlignment="1" applyProtection="1">
      <alignment horizontal="left"/>
    </xf>
    <xf numFmtId="0" fontId="0" fillId="0" borderId="1" xfId="0" applyFont="1" applyBorder="1" applyAlignment="1" applyProtection="1">
      <alignment wrapText="1"/>
    </xf>
    <xf numFmtId="0" fontId="0" fillId="0" borderId="1" xfId="0" applyFont="1" applyBorder="1" applyAlignment="1" applyProtection="1">
      <alignment horizontal="center" vertical="center"/>
    </xf>
    <xf numFmtId="164" fontId="0" fillId="0" borderId="1" xfId="0" applyNumberFormat="1" applyBorder="1" applyAlignment="1" applyProtection="1">
      <alignment horizontal="left" vertical="center"/>
    </xf>
    <xf numFmtId="164" fontId="2" fillId="0" borderId="0" xfId="0" applyNumberFormat="1" applyFont="1" applyAlignment="1" applyProtection="1">
      <alignment horizontal="left"/>
    </xf>
    <xf numFmtId="0" fontId="3" fillId="0" borderId="0" xfId="0" applyFont="1" applyAlignment="1" applyProtection="1">
      <alignment vertical="center"/>
    </xf>
    <xf numFmtId="165" fontId="3" fillId="0" borderId="0" xfId="1" applyFont="1" applyBorder="1" applyAlignment="1" applyProtection="1">
      <alignment vertical="center"/>
    </xf>
    <xf numFmtId="4" fontId="0" fillId="0" borderId="0" xfId="0" applyNumberForma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0" fillId="0" borderId="4" xfId="0" applyBorder="1" applyAlignment="1" applyProtection="1">
      <alignment vertical="center"/>
    </xf>
    <xf numFmtId="165" fontId="3" fillId="0" borderId="5" xfId="1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165" fontId="5" fillId="0" borderId="6" xfId="1" applyFont="1" applyBorder="1" applyAlignment="1" applyProtection="1">
      <alignment horizontal="center" vertical="center"/>
    </xf>
    <xf numFmtId="165" fontId="3" fillId="0" borderId="7" xfId="1" applyFont="1" applyBorder="1" applyAlignment="1" applyProtection="1">
      <alignment vertical="center"/>
    </xf>
    <xf numFmtId="165" fontId="5" fillId="0" borderId="7" xfId="1" applyFont="1" applyBorder="1" applyAlignment="1" applyProtection="1">
      <alignment vertical="center"/>
    </xf>
    <xf numFmtId="165" fontId="5" fillId="0" borderId="8" xfId="1" applyFont="1" applyBorder="1" applyAlignment="1" applyProtection="1">
      <alignment vertical="center"/>
    </xf>
    <xf numFmtId="165" fontId="5" fillId="0" borderId="9" xfId="1" applyFont="1" applyBorder="1" applyAlignment="1" applyProtection="1">
      <alignment horizontal="center" vertical="center"/>
    </xf>
    <xf numFmtId="165" fontId="5" fillId="0" borderId="10" xfId="1" applyFont="1" applyBorder="1" applyAlignment="1" applyProtection="1">
      <alignment vertical="center"/>
    </xf>
    <xf numFmtId="165" fontId="5" fillId="0" borderId="11" xfId="0" applyNumberFormat="1" applyFont="1" applyBorder="1" applyAlignment="1" applyProtection="1">
      <alignment vertical="center"/>
    </xf>
    <xf numFmtId="165" fontId="5" fillId="0" borderId="11" xfId="1" applyFont="1" applyBorder="1" applyAlignment="1" applyProtection="1">
      <alignment vertical="center"/>
    </xf>
    <xf numFmtId="166" fontId="5" fillId="0" borderId="1" xfId="0" applyNumberFormat="1" applyFont="1" applyBorder="1" applyAlignment="1" applyProtection="1">
      <alignment vertical="center"/>
    </xf>
    <xf numFmtId="10" fontId="5" fillId="0" borderId="12" xfId="2" applyNumberFormat="1" applyFont="1" applyBorder="1" applyAlignment="1" applyProtection="1">
      <alignment vertical="center"/>
    </xf>
    <xf numFmtId="165" fontId="3" fillId="0" borderId="10" xfId="1" applyFont="1" applyBorder="1" applyAlignment="1" applyProtection="1">
      <alignment vertical="center"/>
    </xf>
    <xf numFmtId="165" fontId="0" fillId="0" borderId="11" xfId="0" applyNumberFormat="1" applyBorder="1" applyAlignment="1" applyProtection="1">
      <alignment vertical="center"/>
    </xf>
    <xf numFmtId="165" fontId="3" fillId="0" borderId="11" xfId="1" applyFont="1" applyBorder="1" applyAlignment="1" applyProtection="1">
      <alignment vertical="center"/>
    </xf>
    <xf numFmtId="166" fontId="0" fillId="0" borderId="1" xfId="0" applyNumberFormat="1" applyBorder="1" applyAlignment="1" applyProtection="1">
      <alignment vertical="center"/>
    </xf>
    <xf numFmtId="10" fontId="3" fillId="0" borderId="12" xfId="2" applyNumberFormat="1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165" fontId="7" fillId="0" borderId="0" xfId="1" applyFont="1" applyBorder="1" applyAlignment="1" applyProtection="1">
      <alignment vertical="center"/>
    </xf>
    <xf numFmtId="165" fontId="5" fillId="0" borderId="10" xfId="1" applyFont="1" applyBorder="1" applyAlignment="1" applyProtection="1">
      <alignment horizontal="left" vertical="center"/>
    </xf>
    <xf numFmtId="4" fontId="5" fillId="0" borderId="11" xfId="0" applyNumberFormat="1" applyFont="1" applyBorder="1" applyAlignment="1" applyProtection="1">
      <alignment horizontal="center" vertical="center"/>
    </xf>
    <xf numFmtId="165" fontId="5" fillId="0" borderId="0" xfId="1" applyFont="1" applyBorder="1" applyAlignment="1" applyProtection="1">
      <alignment vertical="center"/>
    </xf>
    <xf numFmtId="165" fontId="3" fillId="0" borderId="10" xfId="1" applyFont="1" applyBorder="1" applyAlignment="1" applyProtection="1">
      <alignment horizontal="left" vertical="center"/>
    </xf>
    <xf numFmtId="4" fontId="0" fillId="0" borderId="11" xfId="0" applyNumberFormat="1" applyBorder="1" applyAlignment="1" applyProtection="1">
      <alignment horizontal="center" vertical="center"/>
    </xf>
    <xf numFmtId="166" fontId="5" fillId="0" borderId="13" xfId="0" applyNumberFormat="1" applyFont="1" applyBorder="1" applyAlignment="1" applyProtection="1">
      <alignment vertical="center"/>
    </xf>
    <xf numFmtId="165" fontId="5" fillId="0" borderId="14" xfId="1" applyFont="1" applyBorder="1" applyAlignment="1" applyProtection="1">
      <alignment horizontal="left" vertical="center"/>
    </xf>
    <xf numFmtId="4" fontId="5" fillId="0" borderId="15" xfId="0" applyNumberFormat="1" applyFont="1" applyBorder="1" applyAlignment="1" applyProtection="1">
      <alignment horizontal="center" vertical="center"/>
    </xf>
    <xf numFmtId="165" fontId="5" fillId="0" borderId="15" xfId="1" applyFont="1" applyBorder="1" applyAlignment="1" applyProtection="1">
      <alignment vertical="center"/>
    </xf>
    <xf numFmtId="167" fontId="5" fillId="0" borderId="16" xfId="0" applyNumberFormat="1" applyFont="1" applyBorder="1" applyAlignment="1" applyProtection="1">
      <alignment vertical="center"/>
    </xf>
    <xf numFmtId="9" fontId="5" fillId="0" borderId="17" xfId="2" applyFont="1" applyBorder="1" applyAlignment="1" applyProtection="1">
      <alignment vertical="center"/>
    </xf>
    <xf numFmtId="165" fontId="5" fillId="0" borderId="19" xfId="1" applyFont="1" applyBorder="1" applyAlignment="1" applyProtection="1">
      <alignment horizontal="right" vertical="center"/>
    </xf>
    <xf numFmtId="165" fontId="3" fillId="0" borderId="6" xfId="1" applyFont="1" applyBorder="1" applyAlignment="1" applyProtection="1">
      <alignment vertical="center"/>
    </xf>
    <xf numFmtId="0" fontId="0" fillId="0" borderId="7" xfId="0" applyBorder="1" applyAlignment="1" applyProtection="1">
      <alignment vertical="center"/>
    </xf>
    <xf numFmtId="168" fontId="3" fillId="0" borderId="9" xfId="1" applyNumberFormat="1" applyFont="1" applyBorder="1" applyAlignment="1" applyProtection="1">
      <alignment horizontal="center" vertical="center"/>
    </xf>
    <xf numFmtId="0" fontId="0" fillId="0" borderId="11" xfId="0" applyBorder="1" applyAlignment="1" applyProtection="1">
      <alignment vertical="center"/>
    </xf>
    <xf numFmtId="168" fontId="3" fillId="0" borderId="20" xfId="1" applyNumberFormat="1" applyFont="1" applyBorder="1" applyAlignment="1" applyProtection="1">
      <alignment horizontal="center" vertical="center"/>
    </xf>
    <xf numFmtId="165" fontId="5" fillId="0" borderId="21" xfId="1" applyFont="1" applyBorder="1" applyAlignment="1" applyProtection="1">
      <alignment vertical="center"/>
    </xf>
    <xf numFmtId="4" fontId="5" fillId="0" borderId="22" xfId="0" applyNumberFormat="1" applyFont="1" applyBorder="1" applyAlignment="1" applyProtection="1">
      <alignment vertical="center"/>
    </xf>
    <xf numFmtId="0" fontId="0" fillId="0" borderId="22" xfId="0" applyBorder="1" applyAlignment="1" applyProtection="1">
      <alignment vertical="center"/>
    </xf>
    <xf numFmtId="168" fontId="5" fillId="0" borderId="23" xfId="1" applyNumberFormat="1" applyFont="1" applyBorder="1" applyAlignment="1" applyProtection="1">
      <alignment horizontal="center" vertical="center"/>
    </xf>
    <xf numFmtId="165" fontId="5" fillId="0" borderId="14" xfId="1" applyFont="1" applyBorder="1" applyAlignment="1" applyProtection="1">
      <alignment vertical="center"/>
    </xf>
    <xf numFmtId="9" fontId="5" fillId="0" borderId="24" xfId="2" applyFont="1" applyBorder="1" applyAlignment="1" applyProtection="1">
      <alignment vertical="center"/>
    </xf>
    <xf numFmtId="0" fontId="3" fillId="0" borderId="0" xfId="0" applyFont="1" applyAlignment="1" applyProtection="1"/>
    <xf numFmtId="165" fontId="5" fillId="0" borderId="4" xfId="1" applyFont="1" applyBorder="1" applyAlignment="1" applyProtection="1">
      <alignment vertical="center"/>
    </xf>
    <xf numFmtId="4" fontId="5" fillId="0" borderId="0" xfId="0" applyNumberFormat="1" applyFont="1" applyAlignment="1" applyProtection="1">
      <alignment vertical="center"/>
    </xf>
    <xf numFmtId="165" fontId="3" fillId="0" borderId="26" xfId="1" applyFont="1" applyBorder="1" applyAlignment="1" applyProtection="1">
      <alignment vertical="center"/>
    </xf>
    <xf numFmtId="165" fontId="3" fillId="0" borderId="27" xfId="1" applyFont="1" applyBorder="1" applyAlignment="1" applyProtection="1">
      <alignment vertical="center"/>
    </xf>
    <xf numFmtId="0" fontId="3" fillId="0" borderId="27" xfId="0" applyFont="1" applyBorder="1" applyAlignment="1" applyProtection="1">
      <alignment vertical="center"/>
    </xf>
    <xf numFmtId="168" fontId="3" fillId="0" borderId="28" xfId="1" applyNumberFormat="1" applyFont="1" applyBorder="1" applyAlignment="1" applyProtection="1">
      <alignment horizontal="center" vertical="center"/>
    </xf>
    <xf numFmtId="1" fontId="3" fillId="0" borderId="0" xfId="1" applyNumberFormat="1" applyFont="1" applyBorder="1" applyAlignment="1" applyProtection="1">
      <alignment horizontal="center" vertical="center"/>
    </xf>
    <xf numFmtId="169" fontId="5" fillId="0" borderId="0" xfId="1" applyNumberFormat="1" applyFont="1" applyBorder="1" applyAlignment="1" applyProtection="1">
      <alignment horizontal="center" vertical="center"/>
    </xf>
    <xf numFmtId="169" fontId="3" fillId="0" borderId="0" xfId="1" applyNumberFormat="1" applyFont="1" applyBorder="1" applyAlignment="1" applyProtection="1">
      <alignment horizontal="center" vertical="center"/>
    </xf>
    <xf numFmtId="0" fontId="8" fillId="2" borderId="18" xfId="0" applyFont="1" applyFill="1" applyBorder="1" applyAlignment="1" applyProtection="1">
      <alignment horizontal="center" vertical="center"/>
    </xf>
    <xf numFmtId="0" fontId="8" fillId="2" borderId="29" xfId="0" applyFont="1" applyFill="1" applyBorder="1" applyAlignment="1" applyProtection="1">
      <alignment horizontal="center" vertical="center"/>
    </xf>
    <xf numFmtId="165" fontId="8" fillId="2" borderId="29" xfId="1" applyFont="1" applyFill="1" applyBorder="1" applyAlignment="1" applyProtection="1">
      <alignment horizontal="center" vertical="center"/>
    </xf>
    <xf numFmtId="165" fontId="8" fillId="2" borderId="17" xfId="1" applyFont="1" applyFill="1" applyBorder="1" applyAlignment="1" applyProtection="1">
      <alignment horizontal="center" vertical="center"/>
    </xf>
    <xf numFmtId="0" fontId="3" fillId="0" borderId="30" xfId="0" applyFont="1" applyBorder="1" applyAlignment="1" applyProtection="1">
      <alignment vertical="center"/>
    </xf>
    <xf numFmtId="0" fontId="3" fillId="0" borderId="30" xfId="0" applyFont="1" applyBorder="1" applyAlignment="1" applyProtection="1">
      <alignment horizontal="center" vertical="center"/>
    </xf>
    <xf numFmtId="165" fontId="3" fillId="3" borderId="30" xfId="1" applyFont="1" applyFill="1" applyBorder="1" applyAlignment="1" applyProtection="1">
      <alignment horizontal="center" vertical="center"/>
    </xf>
    <xf numFmtId="165" fontId="3" fillId="0" borderId="30" xfId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2" fontId="3" fillId="3" borderId="1" xfId="0" applyNumberFormat="1" applyFont="1" applyFill="1" applyBorder="1" applyAlignment="1" applyProtection="1">
      <alignment horizontal="center" vertical="center"/>
    </xf>
    <xf numFmtId="165" fontId="3" fillId="0" borderId="1" xfId="1" applyFont="1" applyBorder="1" applyAlignment="1" applyProtection="1">
      <alignment horizontal="center" vertical="center"/>
    </xf>
    <xf numFmtId="0" fontId="5" fillId="0" borderId="31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165" fontId="5" fillId="0" borderId="0" xfId="1" applyFont="1" applyBorder="1" applyAlignment="1" applyProtection="1">
      <alignment horizontal="center" vertical="center"/>
    </xf>
    <xf numFmtId="165" fontId="5" fillId="0" borderId="31" xfId="1" applyFont="1" applyBorder="1" applyAlignment="1" applyProtection="1">
      <alignment horizontal="center" vertical="center"/>
    </xf>
    <xf numFmtId="165" fontId="3" fillId="4" borderId="1" xfId="1" applyFont="1" applyFill="1" applyBorder="1" applyAlignment="1" applyProtection="1">
      <alignment horizontal="center" vertical="center"/>
    </xf>
    <xf numFmtId="168" fontId="3" fillId="0" borderId="1" xfId="0" applyNumberFormat="1" applyFont="1" applyBorder="1" applyAlignment="1" applyProtection="1">
      <alignment horizontal="center" vertical="center"/>
    </xf>
    <xf numFmtId="165" fontId="3" fillId="0" borderId="0" xfId="1" applyFont="1" applyBorder="1" applyAlignment="1" applyProtection="1">
      <alignment horizontal="right" vertical="center"/>
    </xf>
    <xf numFmtId="165" fontId="3" fillId="0" borderId="1" xfId="1" applyFont="1" applyBorder="1" applyAlignment="1" applyProtection="1">
      <alignment vertical="center"/>
    </xf>
    <xf numFmtId="165" fontId="5" fillId="2" borderId="24" xfId="1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right"/>
    </xf>
    <xf numFmtId="165" fontId="0" fillId="0" borderId="0" xfId="0" applyNumberFormat="1" applyBorder="1" applyAlignment="1" applyProtection="1"/>
    <xf numFmtId="1" fontId="3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vertical="center"/>
    </xf>
    <xf numFmtId="165" fontId="5" fillId="0" borderId="1" xfId="1" applyFont="1" applyBorder="1" applyAlignment="1" applyProtection="1">
      <alignment horizontal="center" vertical="center"/>
    </xf>
    <xf numFmtId="0" fontId="10" fillId="0" borderId="0" xfId="0" applyFont="1" applyAlignment="1" applyProtection="1">
      <alignment vertical="center"/>
    </xf>
    <xf numFmtId="0" fontId="5" fillId="0" borderId="11" xfId="0" applyFont="1" applyBorder="1" applyAlignment="1" applyProtection="1">
      <alignment horizontal="center" vertical="center"/>
    </xf>
    <xf numFmtId="165" fontId="5" fillId="0" borderId="11" xfId="1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right" vertical="center"/>
    </xf>
    <xf numFmtId="169" fontId="3" fillId="0" borderId="1" xfId="1" applyNumberFormat="1" applyFont="1" applyBorder="1" applyAlignment="1" applyProtection="1">
      <alignment horizontal="center" vertical="center"/>
    </xf>
    <xf numFmtId="165" fontId="3" fillId="3" borderId="0" xfId="1" applyFont="1" applyFill="1" applyBorder="1" applyAlignment="1" applyProtection="1">
      <alignment vertical="center"/>
    </xf>
    <xf numFmtId="0" fontId="3" fillId="3" borderId="0" xfId="0" applyFont="1" applyFill="1" applyAlignment="1" applyProtection="1">
      <alignment vertical="center"/>
    </xf>
    <xf numFmtId="169" fontId="3" fillId="0" borderId="1" xfId="1" applyNumberFormat="1" applyFont="1" applyBorder="1" applyAlignment="1" applyProtection="1">
      <alignment vertical="center"/>
    </xf>
    <xf numFmtId="165" fontId="5" fillId="2" borderId="2" xfId="1" applyFont="1" applyFill="1" applyBorder="1" applyAlignment="1" applyProtection="1">
      <alignment vertical="center"/>
    </xf>
    <xf numFmtId="170" fontId="3" fillId="0" borderId="1" xfId="1" applyNumberFormat="1" applyFont="1" applyBorder="1" applyAlignment="1" applyProtection="1">
      <alignment vertical="center"/>
    </xf>
    <xf numFmtId="165" fontId="3" fillId="3" borderId="1" xfId="1" applyFont="1" applyFill="1" applyBorder="1" applyAlignment="1" applyProtection="1">
      <alignment horizontal="center" vertical="center"/>
    </xf>
    <xf numFmtId="0" fontId="5" fillId="0" borderId="14" xfId="0" applyFont="1" applyBorder="1" applyAlignment="1" applyProtection="1">
      <alignment vertical="center"/>
    </xf>
    <xf numFmtId="0" fontId="5" fillId="0" borderId="15" xfId="0" applyFont="1" applyBorder="1" applyAlignment="1" applyProtection="1">
      <alignment vertical="center"/>
    </xf>
    <xf numFmtId="165" fontId="5" fillId="0" borderId="24" xfId="1" applyFont="1" applyBorder="1" applyAlignment="1" applyProtection="1">
      <alignment vertical="center"/>
    </xf>
    <xf numFmtId="0" fontId="8" fillId="2" borderId="29" xfId="0" applyFont="1" applyFill="1" applyBorder="1" applyAlignment="1" applyProtection="1">
      <alignment horizontal="center" vertical="center" wrapText="1"/>
    </xf>
    <xf numFmtId="13" fontId="3" fillId="0" borderId="1" xfId="0" applyNumberFormat="1" applyFont="1" applyBorder="1" applyAlignment="1" applyProtection="1">
      <alignment horizontal="center" vertical="center"/>
    </xf>
    <xf numFmtId="165" fontId="3" fillId="0" borderId="0" xfId="1" applyFont="1" applyBorder="1" applyAlignment="1" applyProtection="1"/>
    <xf numFmtId="165" fontId="3" fillId="3" borderId="1" xfId="0" applyNumberFormat="1" applyFont="1" applyFill="1" applyBorder="1" applyAlignment="1" applyProtection="1">
      <alignment horizontal="right" vertical="center"/>
    </xf>
    <xf numFmtId="0" fontId="3" fillId="0" borderId="15" xfId="0" applyFont="1" applyBorder="1" applyAlignment="1" applyProtection="1">
      <alignment vertical="center"/>
    </xf>
    <xf numFmtId="165" fontId="3" fillId="0" borderId="15" xfId="1" applyFont="1" applyBorder="1" applyAlignment="1" applyProtection="1">
      <alignment vertical="center"/>
    </xf>
    <xf numFmtId="165" fontId="3" fillId="0" borderId="24" xfId="1" applyFont="1" applyBorder="1" applyAlignment="1" applyProtection="1">
      <alignment vertical="center"/>
    </xf>
    <xf numFmtId="165" fontId="5" fillId="2" borderId="2" xfId="1" applyFont="1" applyFill="1" applyBorder="1" applyAlignment="1" applyProtection="1">
      <alignment horizontal="center" vertical="center"/>
    </xf>
    <xf numFmtId="0" fontId="11" fillId="0" borderId="0" xfId="3" applyFont="1" applyBorder="1" applyAlignment="1" applyProtection="1">
      <alignment vertical="center"/>
    </xf>
    <xf numFmtId="0" fontId="12" fillId="0" borderId="0" xfId="3" applyFont="1" applyBorder="1" applyAlignment="1" applyProtection="1">
      <alignment vertical="center"/>
    </xf>
    <xf numFmtId="165" fontId="3" fillId="0" borderId="0" xfId="1" applyFont="1" applyBorder="1" applyAlignment="1" applyProtection="1">
      <alignment horizontal="center" vertical="center"/>
    </xf>
    <xf numFmtId="0" fontId="5" fillId="0" borderId="32" xfId="0" applyFont="1" applyBorder="1" applyAlignment="1" applyProtection="1">
      <alignment vertical="center"/>
    </xf>
    <xf numFmtId="0" fontId="5" fillId="0" borderId="32" xfId="0" applyFont="1" applyBorder="1" applyAlignment="1" applyProtection="1">
      <alignment horizontal="center" vertical="center"/>
    </xf>
    <xf numFmtId="165" fontId="5" fillId="0" borderId="32" xfId="1" applyFont="1" applyBorder="1" applyAlignment="1" applyProtection="1">
      <alignment horizontal="center" vertical="center"/>
    </xf>
    <xf numFmtId="165" fontId="3" fillId="4" borderId="1" xfId="1" applyFont="1" applyFill="1" applyBorder="1" applyAlignment="1" applyProtection="1">
      <alignment vertical="center"/>
    </xf>
    <xf numFmtId="0" fontId="5" fillId="0" borderId="1" xfId="0" applyFont="1" applyBorder="1" applyAlignment="1" applyProtection="1">
      <alignment horizontal="center" vertical="center"/>
    </xf>
    <xf numFmtId="171" fontId="3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horizontal="left" vertical="center" wrapText="1"/>
    </xf>
    <xf numFmtId="0" fontId="8" fillId="2" borderId="25" xfId="0" applyFont="1" applyFill="1" applyBorder="1" applyAlignment="1" applyProtection="1">
      <alignment horizontal="center" vertical="center"/>
    </xf>
    <xf numFmtId="0" fontId="8" fillId="2" borderId="33" xfId="0" applyFont="1" applyFill="1" applyBorder="1" applyAlignment="1" applyProtection="1">
      <alignment horizontal="center" vertical="center"/>
    </xf>
    <xf numFmtId="165" fontId="8" fillId="2" borderId="33" xfId="1" applyFont="1" applyFill="1" applyBorder="1" applyAlignment="1" applyProtection="1">
      <alignment horizontal="center" vertical="center"/>
    </xf>
    <xf numFmtId="10" fontId="3" fillId="0" borderId="1" xfId="0" applyNumberFormat="1" applyFont="1" applyBorder="1" applyAlignment="1" applyProtection="1">
      <alignment horizontal="center" vertical="center"/>
    </xf>
    <xf numFmtId="165" fontId="3" fillId="0" borderId="1" xfId="0" applyNumberFormat="1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3" fontId="3" fillId="0" borderId="0" xfId="0" applyNumberFormat="1" applyFont="1" applyAlignment="1" applyProtection="1">
      <alignment vertical="center"/>
    </xf>
    <xf numFmtId="3" fontId="3" fillId="3" borderId="1" xfId="0" applyNumberFormat="1" applyFont="1" applyFill="1" applyBorder="1" applyAlignment="1" applyProtection="1">
      <alignment vertical="center"/>
    </xf>
    <xf numFmtId="4" fontId="3" fillId="3" borderId="30" xfId="0" applyNumberFormat="1" applyFont="1" applyFill="1" applyBorder="1" applyAlignment="1" applyProtection="1">
      <alignment horizontal="center" vertical="center"/>
    </xf>
    <xf numFmtId="172" fontId="3" fillId="3" borderId="30" xfId="1" applyNumberFormat="1" applyFont="1" applyFill="1" applyBorder="1" applyAlignment="1" applyProtection="1">
      <alignment horizontal="center" vertical="center"/>
    </xf>
    <xf numFmtId="172" fontId="3" fillId="0" borderId="30" xfId="1" applyNumberFormat="1" applyFont="1" applyBorder="1" applyAlignment="1" applyProtection="1">
      <alignment horizontal="center" vertical="center"/>
    </xf>
    <xf numFmtId="4" fontId="3" fillId="3" borderId="1" xfId="0" applyNumberFormat="1" applyFont="1" applyFill="1" applyBorder="1" applyAlignment="1" applyProtection="1">
      <alignment horizontal="center" vertical="center"/>
    </xf>
    <xf numFmtId="172" fontId="3" fillId="0" borderId="1" xfId="1" applyNumberFormat="1" applyFont="1" applyBorder="1" applyAlignment="1" applyProtection="1">
      <alignment horizontal="center" vertical="center"/>
    </xf>
    <xf numFmtId="169" fontId="5" fillId="0" borderId="1" xfId="1" applyNumberFormat="1" applyFont="1" applyBorder="1" applyAlignment="1" applyProtection="1">
      <alignment horizontal="center" vertical="center"/>
    </xf>
    <xf numFmtId="172" fontId="5" fillId="0" borderId="1" xfId="1" applyNumberFormat="1" applyFont="1" applyBorder="1" applyAlignment="1" applyProtection="1">
      <alignment horizontal="center" vertical="center"/>
    </xf>
    <xf numFmtId="3" fontId="3" fillId="3" borderId="1" xfId="0" applyNumberFormat="1" applyFont="1" applyFill="1" applyBorder="1" applyAlignment="1" applyProtection="1">
      <alignment horizontal="center" vertical="center"/>
    </xf>
    <xf numFmtId="0" fontId="13" fillId="0" borderId="0" xfId="0" applyFont="1" applyAlignment="1" applyProtection="1">
      <alignment vertical="center"/>
    </xf>
    <xf numFmtId="0" fontId="14" fillId="0" borderId="1" xfId="0" applyFont="1" applyBorder="1" applyAlignment="1" applyProtection="1">
      <alignment horizontal="center" vertical="center"/>
    </xf>
    <xf numFmtId="1" fontId="3" fillId="0" borderId="1" xfId="0" applyNumberFormat="1" applyFont="1" applyBorder="1" applyAlignment="1" applyProtection="1">
      <alignment horizontal="center" vertical="center"/>
    </xf>
    <xf numFmtId="165" fontId="15" fillId="0" borderId="1" xfId="1" applyFont="1" applyBorder="1" applyAlignment="1" applyProtection="1">
      <alignment horizontal="center" vertical="center"/>
    </xf>
    <xf numFmtId="10" fontId="3" fillId="4" borderId="1" xfId="1" applyNumberFormat="1" applyFont="1" applyFill="1" applyBorder="1" applyAlignment="1" applyProtection="1">
      <alignment horizontal="center" vertical="center"/>
    </xf>
    <xf numFmtId="165" fontId="13" fillId="0" borderId="0" xfId="1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165" fontId="4" fillId="0" borderId="0" xfId="1" applyFont="1" applyBorder="1" applyAlignment="1" applyProtection="1">
      <alignment vertical="center"/>
    </xf>
    <xf numFmtId="165" fontId="6" fillId="0" borderId="0" xfId="1" applyFont="1" applyBorder="1" applyAlignment="1" applyProtection="1">
      <alignment vertical="center"/>
    </xf>
    <xf numFmtId="0" fontId="3" fillId="0" borderId="34" xfId="0" applyFont="1" applyBorder="1" applyAlignment="1" applyProtection="1">
      <alignment vertical="center"/>
    </xf>
    <xf numFmtId="0" fontId="3" fillId="0" borderId="11" xfId="0" applyFont="1" applyBorder="1" applyAlignment="1" applyProtection="1">
      <alignment vertical="center"/>
    </xf>
    <xf numFmtId="165" fontId="3" fillId="0" borderId="35" xfId="1" applyFont="1" applyBorder="1" applyAlignment="1" applyProtection="1">
      <alignment vertical="center"/>
    </xf>
    <xf numFmtId="165" fontId="5" fillId="0" borderId="24" xfId="1" applyFont="1" applyBorder="1" applyAlignment="1" applyProtection="1">
      <alignment horizontal="right" vertical="center"/>
    </xf>
    <xf numFmtId="165" fontId="5" fillId="2" borderId="2" xfId="1" applyFont="1" applyFill="1" applyBorder="1" applyAlignment="1" applyProtection="1">
      <alignment horizontal="right" vertical="center"/>
    </xf>
    <xf numFmtId="0" fontId="16" fillId="0" borderId="0" xfId="0" applyFont="1" applyAlignment="1" applyProtection="1">
      <alignment horizontal="left" vertical="center"/>
    </xf>
    <xf numFmtId="0" fontId="17" fillId="0" borderId="0" xfId="0" applyFont="1" applyAlignment="1" applyProtection="1"/>
    <xf numFmtId="171" fontId="17" fillId="0" borderId="0" xfId="0" applyNumberFormat="1" applyFont="1" applyAlignment="1" applyProtection="1"/>
    <xf numFmtId="0" fontId="3" fillId="0" borderId="34" xfId="0" applyFont="1" applyBorder="1" applyAlignment="1" applyProtection="1">
      <alignment horizontal="right"/>
    </xf>
    <xf numFmtId="165" fontId="0" fillId="0" borderId="35" xfId="0" applyNumberFormat="1" applyBorder="1" applyAlignment="1" applyProtection="1"/>
    <xf numFmtId="0" fontId="3" fillId="0" borderId="1" xfId="1" applyNumberFormat="1" applyFont="1" applyBorder="1" applyAlignment="1" applyProtection="1">
      <alignment horizontal="center" vertical="center"/>
    </xf>
    <xf numFmtId="4" fontId="3" fillId="0" borderId="0" xfId="0" applyNumberFormat="1" applyFont="1" applyAlignment="1" applyProtection="1">
      <alignment vertical="center"/>
    </xf>
    <xf numFmtId="4" fontId="18" fillId="0" borderId="0" xfId="0" applyNumberFormat="1" applyFont="1" applyAlignment="1" applyProtection="1">
      <alignment vertical="center"/>
    </xf>
    <xf numFmtId="0" fontId="19" fillId="0" borderId="0" xfId="0" applyFont="1" applyAlignment="1" applyProtection="1">
      <alignment vertical="center"/>
    </xf>
    <xf numFmtId="0" fontId="20" fillId="0" borderId="36" xfId="0" applyFont="1" applyBorder="1" applyAlignment="1" applyProtection="1">
      <alignment horizontal="left" vertical="center"/>
    </xf>
    <xf numFmtId="0" fontId="20" fillId="0" borderId="1" xfId="0" applyFont="1" applyBorder="1" applyAlignment="1" applyProtection="1">
      <alignment horizontal="left" vertical="center"/>
    </xf>
    <xf numFmtId="0" fontId="20" fillId="0" borderId="20" xfId="0" applyFont="1" applyBorder="1" applyAlignment="1" applyProtection="1">
      <alignment horizontal="left" vertical="center"/>
    </xf>
    <xf numFmtId="0" fontId="20" fillId="0" borderId="0" xfId="0" applyFont="1" applyAlignment="1" applyProtection="1">
      <alignment horizontal="left" vertical="center"/>
    </xf>
    <xf numFmtId="10" fontId="20" fillId="0" borderId="20" xfId="0" applyNumberFormat="1" applyFont="1" applyBorder="1" applyAlignment="1" applyProtection="1">
      <alignment horizontal="right" vertical="center"/>
    </xf>
    <xf numFmtId="0" fontId="21" fillId="0" borderId="1" xfId="0" applyFont="1" applyBorder="1" applyAlignment="1" applyProtection="1">
      <alignment horizontal="left" vertical="center"/>
    </xf>
    <xf numFmtId="10" fontId="21" fillId="0" borderId="20" xfId="0" applyNumberFormat="1" applyFont="1" applyBorder="1" applyAlignment="1" applyProtection="1">
      <alignment horizontal="right" vertical="center"/>
    </xf>
    <xf numFmtId="0" fontId="20" fillId="7" borderId="36" xfId="0" applyFont="1" applyFill="1" applyBorder="1" applyAlignment="1" applyProtection="1">
      <alignment horizontal="left" vertical="center"/>
    </xf>
    <xf numFmtId="0" fontId="21" fillId="7" borderId="1" xfId="0" applyFont="1" applyFill="1" applyBorder="1" applyAlignment="1" applyProtection="1">
      <alignment horizontal="left" vertical="center"/>
    </xf>
    <xf numFmtId="10" fontId="21" fillId="7" borderId="20" xfId="0" applyNumberFormat="1" applyFont="1" applyFill="1" applyBorder="1" applyAlignment="1" applyProtection="1">
      <alignment horizontal="right" vertical="center"/>
    </xf>
    <xf numFmtId="0" fontId="22" fillId="0" borderId="1" xfId="0" applyFont="1" applyBorder="1" applyAlignment="1" applyProtection="1">
      <alignment horizontal="left" vertical="center"/>
    </xf>
    <xf numFmtId="0" fontId="23" fillId="0" borderId="0" xfId="0" applyFont="1" applyAlignment="1" applyProtection="1">
      <alignment horizontal="left" vertical="center"/>
    </xf>
    <xf numFmtId="10" fontId="3" fillId="0" borderId="0" xfId="0" applyNumberFormat="1" applyFont="1" applyAlignment="1" applyProtection="1"/>
    <xf numFmtId="9" fontId="20" fillId="0" borderId="0" xfId="2" applyFont="1" applyBorder="1" applyAlignment="1" applyProtection="1">
      <alignment horizontal="right" vertical="center"/>
    </xf>
    <xf numFmtId="0" fontId="20" fillId="0" borderId="1" xfId="0" applyFont="1" applyBorder="1" applyAlignment="1" applyProtection="1">
      <alignment horizontal="left" vertical="center" wrapText="1"/>
    </xf>
    <xf numFmtId="0" fontId="20" fillId="8" borderId="37" xfId="0" applyFont="1" applyFill="1" applyBorder="1" applyAlignment="1" applyProtection="1">
      <alignment horizontal="left" vertical="center"/>
    </xf>
    <xf numFmtId="0" fontId="21" fillId="8" borderId="13" xfId="0" applyFont="1" applyFill="1" applyBorder="1" applyAlignment="1" applyProtection="1">
      <alignment horizontal="left" vertical="center"/>
    </xf>
    <xf numFmtId="10" fontId="21" fillId="8" borderId="28" xfId="0" applyNumberFormat="1" applyFont="1" applyFill="1" applyBorder="1" applyAlignment="1" applyProtection="1">
      <alignment horizontal="right" vertical="center"/>
    </xf>
    <xf numFmtId="0" fontId="21" fillId="0" borderId="0" xfId="0" applyFont="1" applyAlignment="1" applyProtection="1">
      <alignment horizontal="left" vertical="center"/>
    </xf>
    <xf numFmtId="10" fontId="21" fillId="0" borderId="0" xfId="0" applyNumberFormat="1" applyFont="1" applyAlignment="1" applyProtection="1">
      <alignment horizontal="right" vertical="center"/>
    </xf>
    <xf numFmtId="0" fontId="23" fillId="5" borderId="0" xfId="0" applyFont="1" applyFill="1" applyAlignment="1" applyProtection="1">
      <alignment horizontal="left" vertical="center"/>
    </xf>
    <xf numFmtId="10" fontId="20" fillId="0" borderId="0" xfId="0" applyNumberFormat="1" applyFont="1" applyAlignment="1" applyProtection="1">
      <alignment horizontal="right" vertical="center"/>
    </xf>
    <xf numFmtId="0" fontId="20" fillId="5" borderId="0" xfId="0" applyFont="1" applyFill="1" applyAlignment="1" applyProtection="1">
      <alignment horizontal="left" vertical="center"/>
    </xf>
    <xf numFmtId="0" fontId="24" fillId="0" borderId="0" xfId="0" applyFont="1" applyAlignment="1" applyProtection="1">
      <alignment horizontal="justify" vertical="center"/>
    </xf>
    <xf numFmtId="0" fontId="11" fillId="0" borderId="0" xfId="3" applyFont="1" applyBorder="1" applyAlignment="1" applyProtection="1">
      <alignment horizontal="left" vertical="center"/>
    </xf>
    <xf numFmtId="0" fontId="25" fillId="0" borderId="0" xfId="0" applyFont="1" applyAlignment="1" applyProtection="1"/>
    <xf numFmtId="0" fontId="20" fillId="0" borderId="0" xfId="0" applyFont="1" applyAlignment="1" applyProtection="1">
      <alignment horizontal="right" vertical="center"/>
    </xf>
    <xf numFmtId="0" fontId="5" fillId="0" borderId="0" xfId="0" applyFont="1" applyAlignment="1" applyProtection="1"/>
    <xf numFmtId="0" fontId="26" fillId="0" borderId="0" xfId="0" applyFont="1" applyAlignment="1" applyProtection="1"/>
    <xf numFmtId="0" fontId="27" fillId="0" borderId="10" xfId="0" applyFont="1" applyBorder="1" applyAlignment="1" applyProtection="1"/>
    <xf numFmtId="0" fontId="7" fillId="0" borderId="12" xfId="0" applyFont="1" applyBorder="1" applyAlignment="1" applyProtection="1"/>
    <xf numFmtId="0" fontId="27" fillId="0" borderId="38" xfId="0" applyFont="1" applyBorder="1" applyAlignment="1" applyProtection="1"/>
    <xf numFmtId="0" fontId="27" fillId="3" borderId="20" xfId="0" applyFont="1" applyFill="1" applyBorder="1" applyAlignment="1" applyProtection="1"/>
    <xf numFmtId="0" fontId="27" fillId="0" borderId="36" xfId="0" applyFont="1" applyBorder="1" applyAlignment="1" applyProtection="1"/>
    <xf numFmtId="0" fontId="7" fillId="0" borderId="36" xfId="0" applyFont="1" applyBorder="1" applyAlignment="1" applyProtection="1"/>
    <xf numFmtId="0" fontId="7" fillId="3" borderId="20" xfId="0" applyFont="1" applyFill="1" applyBorder="1" applyAlignment="1" applyProtection="1"/>
    <xf numFmtId="0" fontId="7" fillId="0" borderId="38" xfId="0" applyFont="1" applyBorder="1" applyAlignment="1" applyProtection="1"/>
    <xf numFmtId="0" fontId="7" fillId="3" borderId="39" xfId="0" applyFont="1" applyFill="1" applyBorder="1" applyAlignment="1" applyProtection="1"/>
    <xf numFmtId="0" fontId="7" fillId="0" borderId="40" xfId="0" applyFont="1" applyBorder="1" applyAlignment="1" applyProtection="1"/>
    <xf numFmtId="0" fontId="7" fillId="0" borderId="41" xfId="0" applyFont="1" applyBorder="1" applyAlignment="1" applyProtection="1"/>
    <xf numFmtId="0" fontId="7" fillId="3" borderId="42" xfId="0" applyFont="1" applyFill="1" applyBorder="1" applyAlignment="1" applyProtection="1"/>
    <xf numFmtId="0" fontId="7" fillId="0" borderId="20" xfId="0" applyFont="1" applyBorder="1" applyAlignment="1" applyProtection="1"/>
    <xf numFmtId="0" fontId="7" fillId="0" borderId="4" xfId="0" applyFont="1" applyBorder="1" applyAlignment="1" applyProtection="1"/>
    <xf numFmtId="0" fontId="7" fillId="0" borderId="5" xfId="0" applyFont="1" applyBorder="1" applyAlignment="1" applyProtection="1"/>
    <xf numFmtId="0" fontId="6" fillId="0" borderId="39" xfId="0" applyFont="1" applyBorder="1" applyAlignment="1" applyProtection="1"/>
    <xf numFmtId="10" fontId="27" fillId="0" borderId="20" xfId="2" applyNumberFormat="1" applyFont="1" applyBorder="1" applyAlignment="1" applyProtection="1"/>
    <xf numFmtId="173" fontId="6" fillId="0" borderId="20" xfId="0" applyNumberFormat="1" applyFont="1" applyBorder="1" applyAlignment="1" applyProtection="1"/>
    <xf numFmtId="0" fontId="27" fillId="0" borderId="20" xfId="0" applyFont="1" applyBorder="1" applyAlignment="1" applyProtection="1"/>
    <xf numFmtId="0" fontId="27" fillId="0" borderId="39" xfId="0" applyFont="1" applyBorder="1" applyAlignment="1" applyProtection="1"/>
    <xf numFmtId="9" fontId="27" fillId="0" borderId="20" xfId="2" applyFont="1" applyBorder="1" applyAlignment="1" applyProtection="1"/>
    <xf numFmtId="0" fontId="27" fillId="0" borderId="21" xfId="0" applyFont="1" applyBorder="1" applyAlignment="1" applyProtection="1"/>
    <xf numFmtId="9" fontId="6" fillId="0" borderId="23" xfId="2" applyFont="1" applyBorder="1" applyAlignment="1" applyProtection="1"/>
    <xf numFmtId="0" fontId="7" fillId="0" borderId="0" xfId="0" applyFont="1" applyAlignment="1" applyProtection="1"/>
    <xf numFmtId="0" fontId="7" fillId="0" borderId="0" xfId="0" applyFont="1" applyAlignment="1" applyProtection="1">
      <alignment horizontal="center"/>
    </xf>
    <xf numFmtId="0" fontId="4" fillId="0" borderId="4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left" vertical="center"/>
    </xf>
    <xf numFmtId="9" fontId="7" fillId="0" borderId="36" xfId="2" applyFont="1" applyBorder="1" applyAlignment="1" applyProtection="1"/>
    <xf numFmtId="9" fontId="7" fillId="0" borderId="1" xfId="2" applyFont="1" applyBorder="1" applyAlignment="1" applyProtection="1">
      <alignment horizontal="center"/>
    </xf>
    <xf numFmtId="9" fontId="7" fillId="0" borderId="20" xfId="2" applyFont="1" applyBorder="1" applyAlignment="1" applyProtection="1"/>
    <xf numFmtId="0" fontId="7" fillId="0" borderId="45" xfId="0" applyFont="1" applyBorder="1" applyAlignment="1" applyProtection="1">
      <alignment horizontal="left" vertical="center"/>
    </xf>
    <xf numFmtId="0" fontId="7" fillId="0" borderId="46" xfId="0" applyFont="1" applyBorder="1" applyAlignment="1" applyProtection="1">
      <alignment horizontal="center" vertical="center"/>
    </xf>
    <xf numFmtId="10" fontId="7" fillId="3" borderId="9" xfId="0" applyNumberFormat="1" applyFont="1" applyFill="1" applyBorder="1" applyAlignment="1" applyProtection="1">
      <alignment horizontal="center" vertical="center"/>
    </xf>
    <xf numFmtId="10" fontId="7" fillId="0" borderId="36" xfId="2" applyNumberFormat="1" applyFont="1" applyBorder="1" applyAlignment="1" applyProtection="1">
      <alignment horizontal="right"/>
    </xf>
    <xf numFmtId="10" fontId="7" fillId="0" borderId="1" xfId="2" applyNumberFormat="1" applyFont="1" applyBorder="1" applyAlignment="1" applyProtection="1">
      <alignment horizontal="right"/>
    </xf>
    <xf numFmtId="10" fontId="7" fillId="0" borderId="20" xfId="2" applyNumberFormat="1" applyFont="1" applyBorder="1" applyAlignment="1" applyProtection="1">
      <alignment horizontal="right"/>
    </xf>
    <xf numFmtId="0" fontId="7" fillId="0" borderId="36" xfId="0" applyFont="1" applyBorder="1" applyAlignment="1" applyProtection="1">
      <alignment horizontal="left" vertical="center"/>
    </xf>
    <xf numFmtId="0" fontId="7" fillId="0" borderId="1" xfId="0" applyFont="1" applyBorder="1" applyAlignment="1" applyProtection="1">
      <alignment horizontal="center" vertical="center"/>
    </xf>
    <xf numFmtId="10" fontId="7" fillId="3" borderId="20" xfId="0" applyNumberFormat="1" applyFont="1" applyFill="1" applyBorder="1" applyAlignment="1" applyProtection="1">
      <alignment horizontal="center" vertical="center"/>
    </xf>
    <xf numFmtId="10" fontId="7" fillId="0" borderId="20" xfId="0" applyNumberFormat="1" applyFont="1" applyBorder="1" applyAlignment="1" applyProtection="1">
      <alignment horizontal="center" vertical="center"/>
    </xf>
    <xf numFmtId="10" fontId="7" fillId="3" borderId="1" xfId="2" applyNumberFormat="1" applyFont="1" applyFill="1" applyBorder="1" applyAlignment="1" applyProtection="1">
      <alignment horizontal="center"/>
    </xf>
    <xf numFmtId="10" fontId="7" fillId="0" borderId="20" xfId="2" applyNumberFormat="1" applyFont="1" applyBorder="1" applyAlignment="1" applyProtection="1"/>
    <xf numFmtId="0" fontId="7" fillId="0" borderId="36" xfId="0" applyFont="1" applyBorder="1" applyAlignment="1" applyProtection="1">
      <alignment horizontal="right"/>
    </xf>
    <xf numFmtId="0" fontId="7" fillId="3" borderId="1" xfId="0" applyFont="1" applyFill="1" applyBorder="1" applyAlignment="1" applyProtection="1">
      <alignment horizontal="center"/>
    </xf>
    <xf numFmtId="0" fontId="7" fillId="0" borderId="37" xfId="0" applyFont="1" applyBorder="1" applyAlignment="1" applyProtection="1">
      <alignment horizontal="left" vertical="center"/>
    </xf>
    <xf numFmtId="10" fontId="7" fillId="3" borderId="28" xfId="0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/>
    </xf>
    <xf numFmtId="0" fontId="7" fillId="0" borderId="47" xfId="0" applyFont="1" applyBorder="1" applyAlignment="1" applyProtection="1">
      <alignment vertical="center"/>
    </xf>
    <xf numFmtId="0" fontId="7" fillId="0" borderId="48" xfId="0" applyFont="1" applyBorder="1" applyAlignment="1" applyProtection="1">
      <alignment vertical="center"/>
    </xf>
    <xf numFmtId="10" fontId="7" fillId="0" borderId="49" xfId="0" applyNumberFormat="1" applyFont="1" applyBorder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2" xfId="0" applyFont="1" applyBorder="1" applyAlignment="1" applyProtection="1">
      <alignment horizontal="left" vertical="center"/>
    </xf>
    <xf numFmtId="0" fontId="7" fillId="0" borderId="50" xfId="0" applyFont="1" applyBorder="1" applyAlignment="1" applyProtection="1">
      <alignment vertical="center"/>
    </xf>
    <xf numFmtId="0" fontId="6" fillId="2" borderId="14" xfId="0" applyFont="1" applyFill="1" applyBorder="1" applyAlignment="1" applyProtection="1">
      <alignment vertical="center" wrapText="1"/>
    </xf>
    <xf numFmtId="0" fontId="7" fillId="2" borderId="15" xfId="0" applyFont="1" applyFill="1" applyBorder="1" applyAlignment="1" applyProtection="1">
      <alignment vertical="center"/>
    </xf>
    <xf numFmtId="10" fontId="6" fillId="2" borderId="24" xfId="0" applyNumberFormat="1" applyFont="1" applyFill="1" applyBorder="1" applyAlignment="1" applyProtection="1">
      <alignment horizontal="center" vertical="center" wrapText="1"/>
    </xf>
    <xf numFmtId="10" fontId="7" fillId="0" borderId="37" xfId="2" applyNumberFormat="1" applyFont="1" applyBorder="1" applyAlignment="1" applyProtection="1">
      <alignment horizontal="right"/>
    </xf>
    <xf numFmtId="10" fontId="7" fillId="0" borderId="13" xfId="2" applyNumberFormat="1" applyFont="1" applyBorder="1" applyAlignment="1" applyProtection="1">
      <alignment horizontal="right"/>
    </xf>
    <xf numFmtId="10" fontId="7" fillId="0" borderId="28" xfId="2" applyNumberFormat="1" applyFont="1" applyBorder="1" applyAlignment="1" applyProtection="1">
      <alignment horizontal="right"/>
    </xf>
    <xf numFmtId="9" fontId="7" fillId="0" borderId="0" xfId="2" applyFont="1" applyBorder="1" applyAlignment="1" applyProtection="1">
      <alignment horizontal="right"/>
    </xf>
    <xf numFmtId="9" fontId="3" fillId="0" borderId="0" xfId="2" applyFont="1" applyBorder="1" applyAlignment="1" applyProtection="1"/>
    <xf numFmtId="0" fontId="21" fillId="0" borderId="36" xfId="0" applyFont="1" applyBorder="1" applyAlignment="1" applyProtection="1">
      <alignment horizontal="center" vertical="center"/>
    </xf>
    <xf numFmtId="0" fontId="21" fillId="10" borderId="1" xfId="0" applyFont="1" applyFill="1" applyBorder="1" applyAlignment="1" applyProtection="1">
      <alignment horizontal="center" vertical="center"/>
    </xf>
    <xf numFmtId="0" fontId="20" fillId="0" borderId="36" xfId="0" applyFont="1" applyBorder="1" applyAlignment="1" applyProtection="1">
      <alignment horizontal="center" vertical="center"/>
    </xf>
    <xf numFmtId="2" fontId="20" fillId="10" borderId="1" xfId="0" applyNumberFormat="1" applyFont="1" applyFill="1" applyBorder="1" applyAlignment="1" applyProtection="1">
      <alignment horizontal="right" vertical="center"/>
    </xf>
    <xf numFmtId="0" fontId="20" fillId="0" borderId="37" xfId="0" applyFont="1" applyBorder="1" applyAlignment="1" applyProtection="1">
      <alignment horizontal="center" vertical="center"/>
    </xf>
    <xf numFmtId="2" fontId="20" fillId="10" borderId="13" xfId="0" applyNumberFormat="1" applyFont="1" applyFill="1" applyBorder="1" applyAlignment="1" applyProtection="1">
      <alignment horizontal="right" vertical="center"/>
    </xf>
    <xf numFmtId="0" fontId="19" fillId="9" borderId="43" xfId="0" applyFont="1" applyFill="1" applyBorder="1" applyAlignment="1" applyProtection="1">
      <alignment horizontal="center"/>
    </xf>
    <xf numFmtId="0" fontId="3" fillId="0" borderId="51" xfId="0" applyFont="1" applyBorder="1" applyAlignment="1" applyProtection="1"/>
    <xf numFmtId="0" fontId="29" fillId="0" borderId="51" xfId="0" applyFont="1" applyBorder="1" applyAlignment="1" applyProtection="1">
      <alignment horizontal="justify"/>
    </xf>
    <xf numFmtId="0" fontId="29" fillId="0" borderId="52" xfId="0" applyFont="1" applyBorder="1" applyAlignment="1" applyProtection="1">
      <alignment horizontal="justify"/>
    </xf>
    <xf numFmtId="0" fontId="19" fillId="0" borderId="36" xfId="0" applyFont="1" applyBorder="1" applyAlignment="1" applyProtection="1">
      <alignment horizontal="center"/>
    </xf>
    <xf numFmtId="0" fontId="19" fillId="0" borderId="1" xfId="0" applyFont="1" applyBorder="1" applyAlignment="1" applyProtection="1">
      <alignment horizontal="center"/>
    </xf>
    <xf numFmtId="0" fontId="19" fillId="0" borderId="20" xfId="0" applyFont="1" applyBorder="1" applyAlignment="1" applyProtection="1">
      <alignment horizontal="center"/>
    </xf>
    <xf numFmtId="0" fontId="6" fillId="0" borderId="36" xfId="0" applyFont="1" applyBorder="1" applyAlignment="1" applyProtection="1"/>
    <xf numFmtId="0" fontId="6" fillId="0" borderId="1" xfId="0" applyFont="1" applyBorder="1" applyAlignment="1" applyProtection="1"/>
    <xf numFmtId="0" fontId="6" fillId="0" borderId="20" xfId="0" applyFont="1" applyBorder="1" applyAlignment="1" applyProtection="1"/>
    <xf numFmtId="0" fontId="7" fillId="0" borderId="1" xfId="0" applyFont="1" applyBorder="1" applyAlignment="1" applyProtection="1"/>
    <xf numFmtId="3" fontId="7" fillId="3" borderId="20" xfId="0" applyNumberFormat="1" applyFont="1" applyFill="1" applyBorder="1" applyAlignment="1" applyProtection="1"/>
    <xf numFmtId="174" fontId="22" fillId="0" borderId="20" xfId="1" applyNumberFormat="1" applyFont="1" applyBorder="1" applyAlignment="1" applyProtection="1">
      <alignment horizontal="center" vertical="center" wrapText="1"/>
    </xf>
    <xf numFmtId="175" fontId="7" fillId="0" borderId="20" xfId="0" applyNumberFormat="1" applyFont="1" applyBorder="1" applyAlignment="1" applyProtection="1"/>
    <xf numFmtId="2" fontId="7" fillId="0" borderId="20" xfId="0" applyNumberFormat="1" applyFont="1" applyBorder="1" applyAlignment="1" applyProtection="1"/>
    <xf numFmtId="175" fontId="7" fillId="3" borderId="20" xfId="0" applyNumberFormat="1" applyFont="1" applyFill="1" applyBorder="1" applyAlignment="1" applyProtection="1"/>
    <xf numFmtId="176" fontId="7" fillId="3" borderId="20" xfId="0" applyNumberFormat="1" applyFont="1" applyFill="1" applyBorder="1" applyAlignment="1" applyProtection="1"/>
    <xf numFmtId="0" fontId="7" fillId="0" borderId="37" xfId="0" applyFont="1" applyBorder="1" applyAlignment="1" applyProtection="1"/>
    <xf numFmtId="0" fontId="7" fillId="0" borderId="13" xfId="0" applyFont="1" applyBorder="1" applyAlignment="1" applyProtection="1"/>
    <xf numFmtId="175" fontId="7" fillId="0" borderId="28" xfId="0" applyNumberFormat="1" applyFont="1" applyBorder="1" applyAlignment="1" applyProtection="1"/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right" vertical="center"/>
    </xf>
    <xf numFmtId="165" fontId="5" fillId="0" borderId="18" xfId="1" applyFont="1" applyBorder="1" applyAlignment="1" applyProtection="1">
      <alignment horizontal="center" vertical="center"/>
    </xf>
    <xf numFmtId="0" fontId="5" fillId="0" borderId="25" xfId="0" applyFont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/>
    </xf>
    <xf numFmtId="165" fontId="5" fillId="0" borderId="10" xfId="1" applyFont="1" applyBorder="1" applyAlignment="1" applyProtection="1">
      <alignment horizontal="left" vertical="center"/>
    </xf>
    <xf numFmtId="165" fontId="4" fillId="2" borderId="2" xfId="1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left" vertical="center"/>
    </xf>
    <xf numFmtId="0" fontId="19" fillId="6" borderId="3" xfId="0" applyFont="1" applyFill="1" applyBorder="1" applyAlignment="1" applyProtection="1">
      <alignment horizontal="center" vertical="center"/>
    </xf>
    <xf numFmtId="0" fontId="19" fillId="9" borderId="3" xfId="0" applyFont="1" applyFill="1" applyBorder="1" applyAlignment="1" applyProtection="1">
      <alignment horizontal="center"/>
    </xf>
    <xf numFmtId="0" fontId="4" fillId="2" borderId="43" xfId="0" applyFont="1" applyFill="1" applyBorder="1" applyAlignment="1" applyProtection="1">
      <alignment horizontal="center" vertical="center"/>
    </xf>
    <xf numFmtId="0" fontId="5" fillId="2" borderId="44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9" fontId="6" fillId="0" borderId="3" xfId="2" applyFont="1" applyBorder="1" applyAlignment="1" applyProtection="1">
      <alignment horizontal="center"/>
    </xf>
    <xf numFmtId="0" fontId="16" fillId="0" borderId="0" xfId="0" applyFont="1" applyBorder="1" applyAlignment="1" applyProtection="1">
      <alignment horizontal="center" vertical="center"/>
    </xf>
    <xf numFmtId="0" fontId="7" fillId="0" borderId="13" xfId="0" applyFont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horizontal="center"/>
    </xf>
    <xf numFmtId="0" fontId="4" fillId="9" borderId="14" xfId="0" applyFont="1" applyFill="1" applyBorder="1" applyAlignment="1" applyProtection="1">
      <alignment horizontal="center" vertical="center"/>
    </xf>
  </cellXfs>
  <cellStyles count="4">
    <cellStyle name="Hiperlink" xfId="3" builtinId="8"/>
    <cellStyle name="Normal" xfId="0" builtinId="0"/>
    <cellStyle name="Porcentagem" xfId="2" builtinId="5"/>
    <cellStyle name="Vírgula" xfId="1" builtinId="3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EEECE1"/>
      <rgbColor rgb="FFCCFFFF"/>
      <rgbColor rgb="FF660066"/>
      <rgbColor rgb="FFFF8080"/>
      <rgbColor rgb="FF0066CC"/>
      <rgbColor rgb="FFC6D9F1"/>
      <rgbColor rgb="FF000080"/>
      <rgbColor rgb="FFFF00FF"/>
      <rgbColor rgb="FFEFF746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DDD9C3"/>
      <rgbColor rgb="FF3366FF"/>
      <rgbColor rgb="FF33CCCC"/>
      <rgbColor rgb="FF99FF66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131</xdr:row>
      <xdr:rowOff>0</xdr:rowOff>
    </xdr:from>
    <xdr:to>
      <xdr:col>23</xdr:col>
      <xdr:colOff>144360</xdr:colOff>
      <xdr:row>147</xdr:row>
      <xdr:rowOff>154800</xdr:rowOff>
    </xdr:to>
    <xdr:pic>
      <xdr:nvPicPr>
        <xdr:cNvPr id="2" name="Figura 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7297280" y="23190840"/>
          <a:ext cx="4011480" cy="26694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133200</xdr:colOff>
      <xdr:row>4</xdr:row>
      <xdr:rowOff>36720</xdr:rowOff>
    </xdr:from>
    <xdr:to>
      <xdr:col>0</xdr:col>
      <xdr:colOff>1416960</xdr:colOff>
      <xdr:row>6</xdr:row>
      <xdr:rowOff>72720</xdr:rowOff>
    </xdr:to>
    <xdr:pic>
      <xdr:nvPicPr>
        <xdr:cNvPr id="4" name="Picture 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33200" y="742680"/>
          <a:ext cx="1283760" cy="360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85680</xdr:colOff>
      <xdr:row>7</xdr:row>
      <xdr:rowOff>17640</xdr:rowOff>
    </xdr:from>
    <xdr:to>
      <xdr:col>0</xdr:col>
      <xdr:colOff>2121840</xdr:colOff>
      <xdr:row>9</xdr:row>
      <xdr:rowOff>63000</xdr:rowOff>
    </xdr:to>
    <xdr:pic>
      <xdr:nvPicPr>
        <xdr:cNvPr id="5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85680" y="1209600"/>
          <a:ext cx="2036160" cy="3690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view="pageBreakPreview" zoomScaleNormal="100" workbookViewId="0">
      <selection activeCell="G26" sqref="G26"/>
    </sheetView>
  </sheetViews>
  <sheetFormatPr defaultColWidth="11.5703125" defaultRowHeight="12.75" customHeight="1" x14ac:dyDescent="0.2"/>
  <cols>
    <col min="1" max="1" width="4.28515625" style="1" customWidth="1"/>
    <col min="2" max="2" width="39.140625" style="1" customWidth="1"/>
    <col min="3" max="3" width="7.85546875" style="1" customWidth="1"/>
    <col min="4" max="4" width="7" style="2" customWidth="1"/>
    <col min="5" max="5" width="12.140625" style="3" customWidth="1"/>
    <col min="6" max="6" width="14.85546875" style="3" customWidth="1"/>
  </cols>
  <sheetData>
    <row r="1" spans="1:6" x14ac:dyDescent="0.2">
      <c r="A1" s="287" t="s">
        <v>0</v>
      </c>
      <c r="B1" s="287"/>
      <c r="C1" s="287"/>
      <c r="D1" s="287"/>
      <c r="E1" s="287"/>
      <c r="F1" s="287"/>
    </row>
    <row r="3" spans="1:6" x14ac:dyDescent="0.2">
      <c r="A3" s="4" t="s">
        <v>1</v>
      </c>
      <c r="B3" s="4" t="s">
        <v>2</v>
      </c>
      <c r="C3" s="4" t="s">
        <v>3</v>
      </c>
      <c r="D3" s="5" t="s">
        <v>4</v>
      </c>
      <c r="E3" s="6" t="s">
        <v>5</v>
      </c>
      <c r="F3" s="6" t="s">
        <v>6</v>
      </c>
    </row>
    <row r="4" spans="1:6" x14ac:dyDescent="0.2">
      <c r="A4" s="7">
        <v>1</v>
      </c>
      <c r="B4" s="8" t="s">
        <v>8</v>
      </c>
      <c r="C4" s="7" t="s">
        <v>9</v>
      </c>
      <c r="D4" s="7">
        <v>1</v>
      </c>
      <c r="E4" s="9">
        <f>'1. Coleta Seletiva'!F239</f>
        <v>21644.623095988449</v>
      </c>
      <c r="F4" s="9">
        <f>D4*E4</f>
        <v>21644.623095988449</v>
      </c>
    </row>
    <row r="5" spans="1:6" ht="25.5" x14ac:dyDescent="0.2">
      <c r="A5" s="7">
        <v>2</v>
      </c>
      <c r="B5" s="10" t="s">
        <v>10</v>
      </c>
      <c r="C5" s="11" t="s">
        <v>7</v>
      </c>
      <c r="D5" s="11">
        <v>40</v>
      </c>
      <c r="E5" s="12">
        <v>430</v>
      </c>
      <c r="F5" s="12">
        <f>D5*E5</f>
        <v>17200</v>
      </c>
    </row>
    <row r="6" spans="1:6" ht="25.5" x14ac:dyDescent="0.2">
      <c r="A6" s="11">
        <v>3</v>
      </c>
      <c r="B6" s="10" t="s">
        <v>11</v>
      </c>
      <c r="C6" s="11" t="s">
        <v>12</v>
      </c>
      <c r="D6" s="11">
        <v>60</v>
      </c>
      <c r="E6" s="12">
        <v>425.76</v>
      </c>
      <c r="F6" s="12">
        <f>D6*E6</f>
        <v>25545.599999999999</v>
      </c>
    </row>
    <row r="7" spans="1:6" x14ac:dyDescent="0.2">
      <c r="A7" s="288" t="s">
        <v>13</v>
      </c>
      <c r="B7" s="288"/>
      <c r="C7" s="288"/>
      <c r="D7" s="288"/>
      <c r="E7" s="288"/>
      <c r="F7" s="13">
        <f>SUM(F4:F6)</f>
        <v>64390.223095988447</v>
      </c>
    </row>
    <row r="8" spans="1:6" x14ac:dyDescent="0.2">
      <c r="A8" s="288" t="s">
        <v>14</v>
      </c>
      <c r="B8" s="288"/>
      <c r="C8" s="288"/>
      <c r="D8" s="288"/>
      <c r="E8" s="288"/>
      <c r="F8" s="13">
        <f>F7*12</f>
        <v>772682.67715186137</v>
      </c>
    </row>
  </sheetData>
  <mergeCells count="3">
    <mergeCell ref="A1:F1"/>
    <mergeCell ref="A7:E7"/>
    <mergeCell ref="A8:E8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r:id="rId1"/>
  <headerFooter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41"/>
  <sheetViews>
    <sheetView view="pageBreakPreview" topLeftCell="A184" zoomScaleNormal="100" workbookViewId="0">
      <selection activeCell="H191" sqref="H191"/>
    </sheetView>
  </sheetViews>
  <sheetFormatPr defaultColWidth="9.140625" defaultRowHeight="12.75" customHeight="1" x14ac:dyDescent="0.2"/>
  <cols>
    <col min="1" max="1" width="44.5703125" style="14" customWidth="1"/>
    <col min="2" max="2" width="16" style="14" customWidth="1"/>
    <col min="3" max="3" width="11.85546875" style="14" customWidth="1"/>
    <col min="4" max="4" width="14.7109375" style="15" customWidth="1"/>
    <col min="5" max="5" width="15.42578125" style="15" customWidth="1"/>
    <col min="6" max="6" width="13.28515625" style="15" customWidth="1"/>
    <col min="7" max="7" width="28.140625" style="15" customWidth="1"/>
    <col min="8" max="8" width="9.140625" style="14"/>
    <col min="9" max="9" width="14.5703125" style="14" customWidth="1"/>
    <col min="10" max="10" width="13.42578125" style="14" customWidth="1"/>
    <col min="11" max="11" width="9.42578125" style="14" customWidth="1"/>
  </cols>
  <sheetData>
    <row r="1" spans="1:11" x14ac:dyDescent="0.2">
      <c r="B1" s="16"/>
      <c r="C1" s="16"/>
    </row>
    <row r="2" spans="1:11" ht="12.75" customHeight="1" x14ac:dyDescent="0.2">
      <c r="A2" s="291" t="s">
        <v>15</v>
      </c>
      <c r="B2" s="291"/>
      <c r="C2" s="291"/>
      <c r="D2" s="291"/>
      <c r="E2" s="291"/>
      <c r="F2" s="291"/>
    </row>
    <row r="3" spans="1:11" ht="12.75" customHeight="1" x14ac:dyDescent="0.2">
      <c r="A3" s="291"/>
      <c r="B3" s="291"/>
      <c r="C3" s="291"/>
      <c r="D3" s="291"/>
      <c r="E3" s="291"/>
      <c r="F3" s="291"/>
    </row>
    <row r="4" spans="1:11" ht="12.75" customHeight="1" x14ac:dyDescent="0.2">
      <c r="A4" s="291"/>
      <c r="B4" s="291"/>
      <c r="C4" s="291"/>
      <c r="D4" s="291"/>
      <c r="E4" s="291"/>
      <c r="F4" s="291"/>
    </row>
    <row r="5" spans="1:11" x14ac:dyDescent="0.2">
      <c r="B5" s="16"/>
      <c r="C5" s="16"/>
    </row>
    <row r="6" spans="1:11" ht="19.5" customHeight="1" x14ac:dyDescent="0.2">
      <c r="A6" s="292" t="s">
        <v>160</v>
      </c>
      <c r="B6" s="292"/>
      <c r="C6" s="292"/>
      <c r="D6" s="292"/>
      <c r="E6" s="292"/>
      <c r="F6" s="292"/>
    </row>
    <row r="7" spans="1:11" ht="27" customHeight="1" x14ac:dyDescent="0.2">
      <c r="A7" s="292"/>
      <c r="B7" s="292"/>
      <c r="C7" s="292"/>
      <c r="D7" s="292"/>
      <c r="E7" s="292"/>
      <c r="F7" s="292"/>
    </row>
    <row r="8" spans="1:11" x14ac:dyDescent="0.2">
      <c r="A8" s="18"/>
      <c r="B8" s="16"/>
      <c r="C8" s="16"/>
      <c r="F8" s="19"/>
    </row>
    <row r="9" spans="1:11" ht="15" customHeight="1" x14ac:dyDescent="0.2">
      <c r="A9" s="293" t="s">
        <v>16</v>
      </c>
      <c r="B9" s="293"/>
      <c r="C9" s="293"/>
      <c r="D9" s="293"/>
      <c r="E9" s="293"/>
      <c r="F9" s="293"/>
      <c r="H9" s="20"/>
      <c r="I9" s="20"/>
      <c r="J9" s="20"/>
      <c r="K9" s="20"/>
    </row>
    <row r="10" spans="1:11" ht="15" customHeight="1" x14ac:dyDescent="0.2">
      <c r="A10" s="21" t="s">
        <v>17</v>
      </c>
      <c r="B10" s="22"/>
      <c r="C10" s="22"/>
      <c r="D10" s="23"/>
      <c r="E10" s="24" t="s">
        <v>18</v>
      </c>
      <c r="F10" s="25" t="s">
        <v>19</v>
      </c>
      <c r="H10" s="20"/>
      <c r="I10" s="20"/>
      <c r="J10" s="20"/>
      <c r="K10" s="20"/>
    </row>
    <row r="11" spans="1:11" ht="15" customHeight="1" x14ac:dyDescent="0.2">
      <c r="A11" s="26" t="str">
        <f>A45</f>
        <v>1. Mão-de-obra</v>
      </c>
      <c r="B11" s="27"/>
      <c r="C11" s="28"/>
      <c r="D11" s="28"/>
      <c r="E11" s="29">
        <f>+F91</f>
        <v>5707.6130417189315</v>
      </c>
      <c r="F11" s="30">
        <f t="shared" ref="F11:F27" si="0">IFERROR(E11/$E$28,0)</f>
        <v>0.26369657796336327</v>
      </c>
      <c r="H11" s="20"/>
      <c r="I11" s="20"/>
      <c r="J11" s="20"/>
      <c r="K11" s="20"/>
    </row>
    <row r="12" spans="1:11" ht="15" customHeight="1" x14ac:dyDescent="0.2">
      <c r="A12" s="31" t="str">
        <f>A47</f>
        <v>1.1. Coletor Turno Dia</v>
      </c>
      <c r="B12" s="32"/>
      <c r="C12" s="33"/>
      <c r="D12" s="33"/>
      <c r="E12" s="34">
        <f>F58</f>
        <v>2968.8928501935584</v>
      </c>
      <c r="F12" s="35">
        <f t="shared" si="0"/>
        <v>0.13716537530024278</v>
      </c>
      <c r="H12" s="20"/>
      <c r="I12" s="20"/>
      <c r="J12" s="20"/>
      <c r="K12" s="20"/>
    </row>
    <row r="13" spans="1:11" ht="16.5" customHeight="1" x14ac:dyDescent="0.2">
      <c r="A13" s="31" t="str">
        <f>A61</f>
        <v>1.2. Motorista Turno do Dia</v>
      </c>
      <c r="B13" s="32"/>
      <c r="C13" s="33"/>
      <c r="D13" s="33"/>
      <c r="E13" s="34">
        <f>F74</f>
        <v>1731.0432684484499</v>
      </c>
      <c r="F13" s="35">
        <f t="shared" si="0"/>
        <v>7.9975671591586944E-2</v>
      </c>
      <c r="H13" s="20"/>
      <c r="I13" s="20"/>
      <c r="J13" s="20"/>
      <c r="K13" s="36"/>
    </row>
    <row r="14" spans="1:11" ht="17.25" customHeight="1" x14ac:dyDescent="0.2">
      <c r="A14" s="31" t="str">
        <f>A77</f>
        <v>1.3. Vale Transporte</v>
      </c>
      <c r="B14" s="32"/>
      <c r="C14" s="33"/>
      <c r="D14" s="33"/>
      <c r="E14" s="34">
        <f>F83</f>
        <v>569.07692307692321</v>
      </c>
      <c r="F14" s="35">
        <f t="shared" si="0"/>
        <v>2.6291837956854709E-2</v>
      </c>
      <c r="G14" s="37"/>
      <c r="H14" s="36"/>
      <c r="I14" s="36"/>
      <c r="J14" s="36"/>
      <c r="K14" s="20"/>
    </row>
    <row r="15" spans="1:11" ht="15.75" customHeight="1" x14ac:dyDescent="0.2">
      <c r="A15" s="31" t="str">
        <f>A85</f>
        <v>1.4. Auxílio Alimentação (mensal)</v>
      </c>
      <c r="B15" s="32"/>
      <c r="C15" s="33"/>
      <c r="D15" s="33"/>
      <c r="E15" s="34">
        <f>F89</f>
        <v>438.6</v>
      </c>
      <c r="F15" s="35">
        <f t="shared" si="0"/>
        <v>2.0263693114678853E-2</v>
      </c>
      <c r="H15" s="20"/>
      <c r="I15" s="20"/>
      <c r="J15" s="20"/>
      <c r="K15" s="20"/>
    </row>
    <row r="16" spans="1:11" ht="15.75" customHeight="1" x14ac:dyDescent="0.2">
      <c r="A16" s="294" t="str">
        <f>A93</f>
        <v>2. Uniformes e Equipamentos de Proteção Individual</v>
      </c>
      <c r="B16" s="294"/>
      <c r="C16" s="294"/>
      <c r="D16" s="28"/>
      <c r="E16" s="29">
        <f>+F123</f>
        <v>75.088433333333342</v>
      </c>
      <c r="F16" s="30">
        <f t="shared" si="0"/>
        <v>3.4691494973294319E-3</v>
      </c>
      <c r="H16" s="20"/>
      <c r="I16" s="20"/>
      <c r="J16" s="20"/>
      <c r="K16" s="17"/>
    </row>
    <row r="17" spans="1:11" ht="15.75" customHeight="1" x14ac:dyDescent="0.2">
      <c r="A17" s="38" t="str">
        <f>A125</f>
        <v>3. Veículos e Equipamentos</v>
      </c>
      <c r="B17" s="39"/>
      <c r="C17" s="28"/>
      <c r="D17" s="28"/>
      <c r="E17" s="29">
        <f>+F202</f>
        <v>10319.222658062119</v>
      </c>
      <c r="F17" s="30">
        <f t="shared" si="0"/>
        <v>0.47675686531010342</v>
      </c>
      <c r="G17" s="40"/>
      <c r="H17" s="17"/>
      <c r="I17" s="17"/>
      <c r="J17" s="17"/>
      <c r="K17" s="20"/>
    </row>
    <row r="18" spans="1:11" ht="15.75" customHeight="1" x14ac:dyDescent="0.2">
      <c r="A18" s="41" t="str">
        <f>A127</f>
        <v>3.1. Veículo Coletor Compactador 19 m³</v>
      </c>
      <c r="B18" s="42"/>
      <c r="C18" s="33"/>
      <c r="D18" s="33"/>
      <c r="E18" s="34">
        <f>SUM(E19:E24)</f>
        <v>10319.222658062119</v>
      </c>
      <c r="F18" s="35">
        <f t="shared" si="0"/>
        <v>0.47675686531010342</v>
      </c>
      <c r="H18" s="20"/>
      <c r="I18" s="20"/>
      <c r="J18" s="20"/>
      <c r="K18" s="20"/>
    </row>
    <row r="19" spans="1:11" ht="15.75" customHeight="1" x14ac:dyDescent="0.2">
      <c r="A19" s="41" t="str">
        <f>A129</f>
        <v>3.1.1. Depreciação</v>
      </c>
      <c r="B19" s="42"/>
      <c r="C19" s="33"/>
      <c r="D19" s="33"/>
      <c r="E19" s="34">
        <f>F143</f>
        <v>1747.21288</v>
      </c>
      <c r="F19" s="35">
        <f t="shared" si="0"/>
        <v>8.0722721400670785E-2</v>
      </c>
      <c r="H19" s="20"/>
      <c r="I19" s="20"/>
      <c r="J19" s="20"/>
      <c r="K19" s="20"/>
    </row>
    <row r="20" spans="1:11" ht="15.75" customHeight="1" x14ac:dyDescent="0.2">
      <c r="A20" s="41" t="str">
        <f>A145</f>
        <v>3.1.2. Remuneração do Capital</v>
      </c>
      <c r="B20" s="42"/>
      <c r="C20" s="33"/>
      <c r="D20" s="33"/>
      <c r="E20" s="34">
        <f>F159</f>
        <v>1890.2784863666666</v>
      </c>
      <c r="F20" s="35">
        <f t="shared" si="0"/>
        <v>8.7332474119958467E-2</v>
      </c>
      <c r="H20" s="20"/>
      <c r="I20" s="20"/>
      <c r="J20" s="20"/>
      <c r="K20" s="20"/>
    </row>
    <row r="21" spans="1:11" ht="15.75" customHeight="1" x14ac:dyDescent="0.2">
      <c r="A21" s="41" t="str">
        <f>A161</f>
        <v>3.1.3. Impostos e Seguros</v>
      </c>
      <c r="B21" s="42"/>
      <c r="C21" s="33"/>
      <c r="D21" s="33"/>
      <c r="E21" s="34">
        <f>F167</f>
        <v>152.83500000000001</v>
      </c>
      <c r="F21" s="35">
        <f t="shared" si="0"/>
        <v>7.0611070159187017E-3</v>
      </c>
      <c r="H21" s="20"/>
      <c r="I21" s="20"/>
      <c r="J21" s="20"/>
      <c r="K21" s="20"/>
    </row>
    <row r="22" spans="1:11" ht="15.75" customHeight="1" x14ac:dyDescent="0.2">
      <c r="A22" s="41" t="str">
        <f>A169</f>
        <v>3.1.4. Consumos</v>
      </c>
      <c r="B22" s="42"/>
      <c r="C22" s="33"/>
      <c r="D22" s="33"/>
      <c r="E22" s="34">
        <f>F185</f>
        <v>4337.6670247619049</v>
      </c>
      <c r="F22" s="35">
        <f t="shared" si="0"/>
        <v>0.2004039065741845</v>
      </c>
      <c r="H22" s="20"/>
      <c r="I22" s="20"/>
      <c r="J22" s="20"/>
      <c r="K22" s="20"/>
    </row>
    <row r="23" spans="1:11" ht="15.75" customHeight="1" x14ac:dyDescent="0.2">
      <c r="A23" s="41" t="str">
        <f>A187</f>
        <v>3.1.5. Manutenção</v>
      </c>
      <c r="B23" s="42"/>
      <c r="C23" s="33"/>
      <c r="D23" s="33"/>
      <c r="E23" s="34">
        <f>F190</f>
        <v>1387.4856</v>
      </c>
      <c r="F23" s="35">
        <f t="shared" si="0"/>
        <v>6.4103015046593839E-2</v>
      </c>
      <c r="H23" s="20"/>
      <c r="I23" s="20"/>
      <c r="J23" s="20"/>
      <c r="K23" s="20"/>
    </row>
    <row r="24" spans="1:11" ht="15.75" customHeight="1" x14ac:dyDescent="0.2">
      <c r="A24" s="41" t="str">
        <f>A192</f>
        <v>3.1.6. Pneus</v>
      </c>
      <c r="B24" s="42"/>
      <c r="C24" s="33"/>
      <c r="D24" s="33"/>
      <c r="E24" s="34">
        <f>F199</f>
        <v>803.74366693354671</v>
      </c>
      <c r="F24" s="35">
        <f t="shared" si="0"/>
        <v>3.7133641152777119E-2</v>
      </c>
      <c r="H24" s="20"/>
      <c r="I24" s="20"/>
      <c r="J24" s="20"/>
      <c r="K24" s="17"/>
    </row>
    <row r="25" spans="1:11" ht="15.75" customHeight="1" x14ac:dyDescent="0.2">
      <c r="A25" s="38" t="str">
        <f>A204</f>
        <v>4. Ferramentas e Materiais de Consumo</v>
      </c>
      <c r="B25" s="39"/>
      <c r="C25" s="28"/>
      <c r="D25" s="28"/>
      <c r="E25" s="29">
        <f>F215</f>
        <v>113.61999999999998</v>
      </c>
      <c r="F25" s="30">
        <f t="shared" si="0"/>
        <v>5.2493406559275214E-3</v>
      </c>
      <c r="G25" s="40"/>
      <c r="H25" s="17"/>
      <c r="I25" s="17"/>
      <c r="J25" s="17"/>
      <c r="K25" s="17"/>
    </row>
    <row r="26" spans="1:11" ht="15.75" customHeight="1" x14ac:dyDescent="0.2">
      <c r="A26" s="38" t="str">
        <f>A217</f>
        <v>5. Monitoramento da Frota</v>
      </c>
      <c r="B26" s="39"/>
      <c r="C26" s="28"/>
      <c r="D26" s="28"/>
      <c r="E26" s="29">
        <f>+F226</f>
        <v>39.054166666666667</v>
      </c>
      <c r="F26" s="30">
        <f t="shared" si="0"/>
        <v>1.8043357231711211E-3</v>
      </c>
      <c r="G26" s="40"/>
      <c r="H26" s="17"/>
      <c r="I26" s="17"/>
      <c r="J26" s="17"/>
      <c r="K26" s="20"/>
    </row>
    <row r="27" spans="1:11" ht="15.75" customHeight="1" x14ac:dyDescent="0.2">
      <c r="A27" s="38" t="str">
        <f>A230</f>
        <v>6. Benefícios e Despesas Indiretas - BDI</v>
      </c>
      <c r="B27" s="39"/>
      <c r="C27" s="28"/>
      <c r="D27" s="28"/>
      <c r="E27" s="43">
        <f>F236</f>
        <v>5390.0247962073972</v>
      </c>
      <c r="F27" s="30">
        <f t="shared" si="0"/>
        <v>0.24902373085010515</v>
      </c>
      <c r="H27" s="20"/>
      <c r="I27" s="20"/>
      <c r="J27" s="20"/>
      <c r="K27" s="20"/>
    </row>
    <row r="28" spans="1:11" ht="15.75" customHeight="1" x14ac:dyDescent="0.2">
      <c r="A28" s="44" t="s">
        <v>20</v>
      </c>
      <c r="B28" s="45"/>
      <c r="C28" s="46"/>
      <c r="D28" s="46"/>
      <c r="E28" s="47">
        <f>E11+E16+E17+E25+E26+E27</f>
        <v>21644.623095988449</v>
      </c>
      <c r="F28" s="48">
        <f>F11+F16+F17+F25+F26+F27</f>
        <v>0.99999999999999978</v>
      </c>
      <c r="H28" s="20"/>
      <c r="I28" s="20"/>
      <c r="J28" s="20"/>
      <c r="K28" s="20"/>
    </row>
    <row r="29" spans="1:11" ht="15.75" customHeight="1" x14ac:dyDescent="0.2">
      <c r="H29" s="20"/>
      <c r="I29" s="20"/>
      <c r="J29" s="20"/>
      <c r="K29" s="20"/>
    </row>
    <row r="30" spans="1:11" ht="15.75" customHeight="1" x14ac:dyDescent="0.2">
      <c r="H30" s="20"/>
      <c r="I30" s="20"/>
      <c r="J30" s="20"/>
      <c r="K30" s="20"/>
    </row>
    <row r="31" spans="1:11" ht="15.75" customHeight="1" x14ac:dyDescent="0.2">
      <c r="A31" s="295" t="s">
        <v>21</v>
      </c>
      <c r="B31" s="295"/>
      <c r="C31" s="295"/>
      <c r="D31" s="295"/>
      <c r="E31" s="295"/>
      <c r="H31" s="20"/>
      <c r="I31" s="20"/>
      <c r="J31" s="20"/>
      <c r="K31" s="20"/>
    </row>
    <row r="32" spans="1:11" ht="15.75" customHeight="1" x14ac:dyDescent="0.2">
      <c r="A32" s="289" t="s">
        <v>22</v>
      </c>
      <c r="B32" s="289"/>
      <c r="C32" s="289"/>
      <c r="D32" s="289"/>
      <c r="E32" s="49" t="s">
        <v>23</v>
      </c>
      <c r="H32" s="20"/>
      <c r="I32" s="20"/>
      <c r="J32" s="20"/>
      <c r="K32" s="17"/>
    </row>
    <row r="33" spans="1:11" ht="15.75" customHeight="1" x14ac:dyDescent="0.2">
      <c r="A33" s="50" t="str">
        <f>A13</f>
        <v>1.2. Motorista Turno do Dia</v>
      </c>
      <c r="B33" s="22"/>
      <c r="C33" s="22"/>
      <c r="D33" s="51"/>
      <c r="E33" s="52">
        <v>1</v>
      </c>
      <c r="H33" s="20"/>
      <c r="I33" s="20"/>
      <c r="J33" s="20"/>
      <c r="K33" s="17"/>
    </row>
    <row r="34" spans="1:11" ht="15.75" customHeight="1" x14ac:dyDescent="0.2">
      <c r="A34" s="31" t="str">
        <f>A12</f>
        <v>1.1. Coletor Turno Dia</v>
      </c>
      <c r="B34" s="33"/>
      <c r="C34" s="33"/>
      <c r="D34" s="53"/>
      <c r="E34" s="54">
        <v>2</v>
      </c>
      <c r="G34" s="40"/>
      <c r="H34" s="17"/>
      <c r="I34" s="17"/>
      <c r="J34" s="17"/>
      <c r="K34" s="20"/>
    </row>
    <row r="35" spans="1:11" ht="15.75" customHeight="1" x14ac:dyDescent="0.2">
      <c r="A35" s="55" t="s">
        <v>24</v>
      </c>
      <c r="B35" s="56"/>
      <c r="C35" s="56"/>
      <c r="D35" s="57"/>
      <c r="E35" s="58">
        <f>SUM(E33:E34)</f>
        <v>3</v>
      </c>
      <c r="H35" s="20"/>
      <c r="I35" s="20"/>
      <c r="J35" s="20"/>
    </row>
    <row r="36" spans="1:11" ht="15.75" customHeight="1" x14ac:dyDescent="0.2">
      <c r="A36" s="55"/>
      <c r="B36" s="56"/>
      <c r="C36" s="56"/>
      <c r="D36" s="57"/>
      <c r="E36" s="58"/>
      <c r="H36" s="20"/>
      <c r="I36" s="20"/>
      <c r="J36" s="20"/>
    </row>
    <row r="37" spans="1:11" ht="15.75" customHeight="1" x14ac:dyDescent="0.2">
      <c r="A37" s="59" t="s">
        <v>25</v>
      </c>
      <c r="B37" s="60">
        <v>0.34</v>
      </c>
      <c r="C37" s="56"/>
      <c r="D37" s="57"/>
      <c r="E37" s="58"/>
      <c r="H37" s="20"/>
      <c r="I37" s="20"/>
      <c r="J37" s="20"/>
    </row>
    <row r="38" spans="1:11" ht="15.75" customHeight="1" x14ac:dyDescent="0.2">
      <c r="A38" s="55"/>
      <c r="B38" s="56"/>
      <c r="C38" s="56"/>
      <c r="D38" s="57"/>
      <c r="E38" s="58"/>
      <c r="H38" s="20"/>
      <c r="I38" s="20"/>
      <c r="J38" s="20"/>
    </row>
    <row r="39" spans="1:11" x14ac:dyDescent="0.2">
      <c r="A39" s="62"/>
      <c r="B39" s="63"/>
      <c r="C39" s="15"/>
      <c r="E39" s="19"/>
      <c r="K39" s="20"/>
    </row>
    <row r="40" spans="1:11" x14ac:dyDescent="0.2">
      <c r="A40" s="290" t="s">
        <v>26</v>
      </c>
      <c r="B40" s="290"/>
      <c r="C40" s="290"/>
      <c r="D40" s="290"/>
      <c r="E40" s="49" t="s">
        <v>23</v>
      </c>
      <c r="F40" s="14"/>
      <c r="K40" s="20"/>
    </row>
    <row r="41" spans="1:11" ht="15" customHeight="1" x14ac:dyDescent="0.2">
      <c r="A41" s="64" t="str">
        <f>+A127</f>
        <v>3.1. Veículo Coletor Compactador 19 m³</v>
      </c>
      <c r="B41" s="65"/>
      <c r="C41" s="65"/>
      <c r="D41" s="66"/>
      <c r="E41" s="67">
        <v>1</v>
      </c>
      <c r="F41" s="14"/>
      <c r="H41" s="20"/>
      <c r="I41" s="20"/>
      <c r="J41" s="20"/>
      <c r="K41" s="20"/>
    </row>
    <row r="42" spans="1:11" ht="15" customHeight="1" x14ac:dyDescent="0.2">
      <c r="A42" s="15"/>
      <c r="B42" s="15"/>
      <c r="C42" s="15"/>
      <c r="D42" s="14"/>
      <c r="E42" s="68"/>
      <c r="F42" s="14"/>
      <c r="H42" s="20"/>
      <c r="I42" s="20"/>
      <c r="J42" s="20"/>
      <c r="K42" s="20"/>
    </row>
    <row r="43" spans="1:11" ht="15" customHeight="1" x14ac:dyDescent="0.2">
      <c r="A43" s="59" t="s">
        <v>27</v>
      </c>
      <c r="B43" s="60">
        <v>0.25</v>
      </c>
      <c r="C43" s="40"/>
      <c r="D43" s="17"/>
      <c r="E43" s="69"/>
      <c r="F43" s="17"/>
      <c r="H43" s="20"/>
      <c r="I43" s="20"/>
      <c r="J43" s="20"/>
      <c r="K43" s="20"/>
    </row>
    <row r="44" spans="1:11" ht="15" customHeight="1" x14ac:dyDescent="0.2">
      <c r="A44" s="15"/>
      <c r="B44" s="15"/>
      <c r="C44" s="15"/>
      <c r="D44" s="14"/>
      <c r="E44" s="70"/>
      <c r="F44" s="14"/>
      <c r="H44" s="20"/>
      <c r="I44" s="20"/>
      <c r="J44" s="20"/>
      <c r="K44" s="20"/>
    </row>
    <row r="45" spans="1:11" ht="15" customHeight="1" x14ac:dyDescent="0.2">
      <c r="A45" s="17" t="s">
        <v>28</v>
      </c>
      <c r="H45" s="20"/>
      <c r="I45" s="20"/>
      <c r="J45" s="20"/>
      <c r="K45" s="20"/>
    </row>
    <row r="46" spans="1:11" ht="15" customHeight="1" x14ac:dyDescent="0.2">
      <c r="H46" s="20"/>
      <c r="I46" s="20"/>
      <c r="J46" s="20"/>
      <c r="K46" s="20"/>
    </row>
    <row r="47" spans="1:11" ht="15" customHeight="1" x14ac:dyDescent="0.2">
      <c r="A47" s="14" t="s">
        <v>29</v>
      </c>
      <c r="H47" s="20"/>
      <c r="I47" s="20"/>
      <c r="J47" s="20"/>
      <c r="K47" s="20"/>
    </row>
    <row r="48" spans="1:11" ht="15" customHeight="1" x14ac:dyDescent="0.2">
      <c r="A48" s="71" t="s">
        <v>30</v>
      </c>
      <c r="B48" s="72" t="s">
        <v>3</v>
      </c>
      <c r="C48" s="72" t="s">
        <v>23</v>
      </c>
      <c r="D48" s="73" t="s">
        <v>31</v>
      </c>
      <c r="E48" s="73" t="s">
        <v>32</v>
      </c>
      <c r="F48" s="74" t="s">
        <v>33</v>
      </c>
      <c r="H48" s="20"/>
      <c r="I48" s="20"/>
      <c r="J48" s="20"/>
      <c r="K48" s="20"/>
    </row>
    <row r="49" spans="1:11" ht="15" customHeight="1" x14ac:dyDescent="0.2">
      <c r="A49" s="75" t="s">
        <v>34</v>
      </c>
      <c r="B49" s="76" t="s">
        <v>35</v>
      </c>
      <c r="C49" s="76">
        <v>1</v>
      </c>
      <c r="D49" s="77">
        <v>1730</v>
      </c>
      <c r="E49" s="78">
        <f>C49*D49</f>
        <v>1730</v>
      </c>
      <c r="H49" s="20"/>
      <c r="I49" s="20"/>
      <c r="J49" s="20"/>
      <c r="K49" s="20"/>
    </row>
    <row r="50" spans="1:11" ht="15" customHeight="1" x14ac:dyDescent="0.2">
      <c r="A50" s="79" t="s">
        <v>36</v>
      </c>
      <c r="B50" s="80" t="s">
        <v>37</v>
      </c>
      <c r="C50" s="81">
        <v>8</v>
      </c>
      <c r="D50" s="82">
        <f>D49/220*2</f>
        <v>15.727272727272727</v>
      </c>
      <c r="E50" s="82">
        <f>C50*D50</f>
        <v>125.81818181818181</v>
      </c>
      <c r="H50" s="20"/>
      <c r="I50" s="20"/>
      <c r="J50" s="20"/>
      <c r="K50" s="17"/>
    </row>
    <row r="51" spans="1:11" x14ac:dyDescent="0.2">
      <c r="A51" s="79" t="s">
        <v>38</v>
      </c>
      <c r="B51" s="80" t="s">
        <v>37</v>
      </c>
      <c r="C51" s="81">
        <v>1.5</v>
      </c>
      <c r="D51" s="82">
        <f>D49/220*1.5</f>
        <v>11.795454545454545</v>
      </c>
      <c r="E51" s="82">
        <f>C51*D51</f>
        <v>17.693181818181817</v>
      </c>
      <c r="H51" s="20"/>
      <c r="I51" s="20"/>
      <c r="J51" s="20"/>
      <c r="K51" s="20"/>
    </row>
    <row r="52" spans="1:11" ht="15.75" customHeight="1" x14ac:dyDescent="0.2">
      <c r="A52" s="79" t="s">
        <v>39</v>
      </c>
      <c r="B52" s="80" t="s">
        <v>40</v>
      </c>
      <c r="D52" s="82">
        <f>63/302*(SUM(E50:E51))</f>
        <v>29.937801023479832</v>
      </c>
      <c r="E52" s="82">
        <f>D52</f>
        <v>29.937801023479832</v>
      </c>
      <c r="G52" s="40"/>
      <c r="H52" s="17"/>
      <c r="I52" s="17"/>
      <c r="J52" s="17"/>
    </row>
    <row r="53" spans="1:11" ht="15.75" customHeight="1" x14ac:dyDescent="0.2">
      <c r="A53" s="79" t="s">
        <v>41</v>
      </c>
      <c r="B53" s="80" t="s">
        <v>19</v>
      </c>
      <c r="C53" s="80">
        <v>40</v>
      </c>
      <c r="D53" s="82">
        <v>1518</v>
      </c>
      <c r="E53" s="82">
        <f>C53*D53/100</f>
        <v>607.20000000000005</v>
      </c>
      <c r="H53" s="20"/>
      <c r="I53" s="20"/>
      <c r="J53" s="20"/>
    </row>
    <row r="54" spans="1:11" ht="12.75" customHeight="1" x14ac:dyDescent="0.2">
      <c r="A54" s="83" t="s">
        <v>42</v>
      </c>
      <c r="B54" s="84"/>
      <c r="C54" s="84"/>
      <c r="D54" s="85"/>
      <c r="E54" s="86">
        <f>SUM(E49:E53)</f>
        <v>2510.6491646598433</v>
      </c>
    </row>
    <row r="55" spans="1:11" ht="11.25" customHeight="1" x14ac:dyDescent="0.2">
      <c r="A55" s="79" t="s">
        <v>43</v>
      </c>
      <c r="B55" s="80" t="s">
        <v>19</v>
      </c>
      <c r="C55" s="87">
        <v>73.900000000000006</v>
      </c>
      <c r="D55" s="82">
        <f>E54</f>
        <v>2510.6491646598433</v>
      </c>
      <c r="E55" s="82">
        <f>D55*C55/100</f>
        <v>1855.3697326836243</v>
      </c>
    </row>
    <row r="56" spans="1:11" ht="13.5" customHeight="1" x14ac:dyDescent="0.2">
      <c r="A56" s="83" t="s">
        <v>44</v>
      </c>
      <c r="B56" s="84"/>
      <c r="C56" s="84"/>
      <c r="D56" s="85"/>
      <c r="E56" s="86">
        <f>E54+E55</f>
        <v>4366.0188973434679</v>
      </c>
    </row>
    <row r="57" spans="1:11" ht="13.5" customHeight="1" x14ac:dyDescent="0.2">
      <c r="A57" s="79" t="s">
        <v>45</v>
      </c>
      <c r="B57" s="80" t="s">
        <v>46</v>
      </c>
      <c r="C57" s="88">
        <f>E34</f>
        <v>2</v>
      </c>
      <c r="D57" s="82">
        <f>E56</f>
        <v>4366.0188973434679</v>
      </c>
      <c r="E57" s="82">
        <f>C57*D57</f>
        <v>8732.0377946869357</v>
      </c>
    </row>
    <row r="58" spans="1:11" ht="12.75" customHeight="1" x14ac:dyDescent="0.2">
      <c r="D58" s="89" t="s">
        <v>47</v>
      </c>
      <c r="E58" s="90">
        <f>B37</f>
        <v>0.34</v>
      </c>
      <c r="F58" s="91">
        <f>E57*E58</f>
        <v>2968.8928501935584</v>
      </c>
    </row>
    <row r="60" spans="1:11" x14ac:dyDescent="0.2">
      <c r="J60" s="163"/>
      <c r="K60" s="164"/>
    </row>
    <row r="61" spans="1:11" x14ac:dyDescent="0.2">
      <c r="A61" s="14" t="s">
        <v>48</v>
      </c>
    </row>
    <row r="62" spans="1:11" ht="12.75" customHeight="1" x14ac:dyDescent="0.2">
      <c r="A62" s="71" t="s">
        <v>30</v>
      </c>
      <c r="B62" s="72" t="s">
        <v>3</v>
      </c>
      <c r="C62" s="72" t="s">
        <v>23</v>
      </c>
      <c r="D62" s="73" t="s">
        <v>31</v>
      </c>
      <c r="E62" s="73" t="s">
        <v>32</v>
      </c>
      <c r="F62" s="74" t="s">
        <v>33</v>
      </c>
    </row>
    <row r="63" spans="1:11" x14ac:dyDescent="0.2">
      <c r="A63" s="75" t="s">
        <v>49</v>
      </c>
      <c r="B63" s="76" t="s">
        <v>35</v>
      </c>
      <c r="C63" s="76">
        <v>1</v>
      </c>
      <c r="D63" s="77">
        <v>2385</v>
      </c>
      <c r="E63" s="78">
        <f>C63*D63</f>
        <v>2385</v>
      </c>
      <c r="K63" s="17"/>
    </row>
    <row r="64" spans="1:11" x14ac:dyDescent="0.2">
      <c r="A64" s="75" t="s">
        <v>50</v>
      </c>
      <c r="B64" s="76" t="s">
        <v>35</v>
      </c>
      <c r="C64" s="76">
        <v>1</v>
      </c>
      <c r="D64" s="78">
        <v>1518</v>
      </c>
      <c r="E64" s="78"/>
    </row>
    <row r="65" spans="1:11" x14ac:dyDescent="0.2">
      <c r="A65" s="79" t="s">
        <v>36</v>
      </c>
      <c r="B65" s="80" t="s">
        <v>37</v>
      </c>
      <c r="C65" s="81">
        <v>8</v>
      </c>
      <c r="D65" s="82">
        <f>D63/220*2</f>
        <v>21.681818181818183</v>
      </c>
      <c r="E65" s="82">
        <f>C65*D65</f>
        <v>173.45454545454547</v>
      </c>
      <c r="K65" s="17"/>
    </row>
    <row r="66" spans="1:11" x14ac:dyDescent="0.2">
      <c r="A66" s="79" t="s">
        <v>38</v>
      </c>
      <c r="B66" s="80" t="s">
        <v>37</v>
      </c>
      <c r="C66" s="81">
        <v>1.5</v>
      </c>
      <c r="D66" s="82">
        <f>D63/220*1.5</f>
        <v>16.261363636363637</v>
      </c>
      <c r="E66" s="82">
        <f>C66*D66</f>
        <v>24.392045454545453</v>
      </c>
    </row>
    <row r="67" spans="1:11" x14ac:dyDescent="0.2">
      <c r="A67" s="79" t="s">
        <v>39</v>
      </c>
      <c r="B67" s="80" t="s">
        <v>40</v>
      </c>
      <c r="D67" s="82">
        <f>63/302*(SUM(E65:E66))</f>
        <v>41.272633202889836</v>
      </c>
      <c r="E67" s="82">
        <f>D67</f>
        <v>41.272633202889836</v>
      </c>
    </row>
    <row r="68" spans="1:11" x14ac:dyDescent="0.2">
      <c r="A68" s="79" t="s">
        <v>51</v>
      </c>
      <c r="B68" s="80"/>
      <c r="C68" s="94">
        <v>2</v>
      </c>
      <c r="D68" s="82"/>
      <c r="E68" s="82"/>
    </row>
    <row r="69" spans="1:11" ht="11.25" customHeight="1" x14ac:dyDescent="0.2">
      <c r="A69" s="79" t="s">
        <v>41</v>
      </c>
      <c r="B69" s="80" t="s">
        <v>19</v>
      </c>
      <c r="C69" s="95">
        <v>20</v>
      </c>
      <c r="D69" s="82">
        <v>1518</v>
      </c>
      <c r="E69" s="82">
        <f>C69*D69/100</f>
        <v>303.60000000000002</v>
      </c>
    </row>
    <row r="70" spans="1:11" x14ac:dyDescent="0.2">
      <c r="A70" s="96" t="s">
        <v>42</v>
      </c>
      <c r="B70" s="84"/>
      <c r="C70" s="84"/>
      <c r="D70" s="85"/>
      <c r="E70" s="97">
        <f>SUM(E63:E69)</f>
        <v>2927.7192241119806</v>
      </c>
      <c r="F70" s="40"/>
    </row>
    <row r="71" spans="1:11" ht="12.75" customHeight="1" x14ac:dyDescent="0.2">
      <c r="A71" s="79" t="s">
        <v>43</v>
      </c>
      <c r="B71" s="80" t="s">
        <v>19</v>
      </c>
      <c r="C71" s="87">
        <v>73.900000000000006</v>
      </c>
      <c r="D71" s="82">
        <f>E70</f>
        <v>2927.7192241119806</v>
      </c>
      <c r="E71" s="82">
        <f>D71*C71/100</f>
        <v>2163.5845066187539</v>
      </c>
      <c r="H71" s="98"/>
      <c r="I71" s="98"/>
      <c r="J71" s="98"/>
    </row>
    <row r="72" spans="1:11" x14ac:dyDescent="0.2">
      <c r="A72" s="96" t="s">
        <v>52</v>
      </c>
      <c r="B72" s="99"/>
      <c r="C72" s="99"/>
      <c r="D72" s="100"/>
      <c r="E72" s="97">
        <f>E70+E71</f>
        <v>5091.303730730735</v>
      </c>
      <c r="F72" s="40"/>
    </row>
    <row r="73" spans="1:11" x14ac:dyDescent="0.2">
      <c r="A73" s="79" t="s">
        <v>45</v>
      </c>
      <c r="B73" s="80" t="s">
        <v>46</v>
      </c>
      <c r="C73" s="88">
        <f>E33</f>
        <v>1</v>
      </c>
      <c r="D73" s="82">
        <f>E72</f>
        <v>5091.303730730735</v>
      </c>
      <c r="E73" s="82">
        <f>C73*D73</f>
        <v>5091.303730730735</v>
      </c>
    </row>
    <row r="74" spans="1:11" x14ac:dyDescent="0.2">
      <c r="D74" s="89" t="s">
        <v>47</v>
      </c>
      <c r="E74" s="90">
        <f>B37</f>
        <v>0.34</v>
      </c>
      <c r="F74" s="91">
        <f>E73*E74</f>
        <v>1731.0432684484499</v>
      </c>
    </row>
    <row r="77" spans="1:11" ht="12.75" customHeight="1" x14ac:dyDescent="0.2">
      <c r="A77" s="14" t="s">
        <v>53</v>
      </c>
      <c r="B77" s="101"/>
      <c r="D77" s="14"/>
      <c r="E77" s="14"/>
    </row>
    <row r="78" spans="1:11" x14ac:dyDescent="0.2">
      <c r="A78" s="71" t="s">
        <v>30</v>
      </c>
      <c r="B78" s="72" t="s">
        <v>3</v>
      </c>
      <c r="C78" s="72" t="s">
        <v>23</v>
      </c>
      <c r="D78" s="73" t="s">
        <v>31</v>
      </c>
      <c r="E78" s="73" t="s">
        <v>32</v>
      </c>
      <c r="F78" s="74" t="s">
        <v>33</v>
      </c>
    </row>
    <row r="79" spans="1:11" x14ac:dyDescent="0.2">
      <c r="A79" s="79" t="s">
        <v>54</v>
      </c>
      <c r="B79" s="80" t="s">
        <v>40</v>
      </c>
      <c r="C79" s="102">
        <v>1</v>
      </c>
      <c r="D79" s="103">
        <v>6.2</v>
      </c>
      <c r="E79" s="82"/>
    </row>
    <row r="80" spans="1:11" x14ac:dyDescent="0.2">
      <c r="A80" s="79" t="s">
        <v>55</v>
      </c>
      <c r="B80" s="80" t="s">
        <v>56</v>
      </c>
      <c r="C80" s="104">
        <v>24</v>
      </c>
      <c r="D80" s="82"/>
      <c r="E80" s="82"/>
      <c r="G80" s="40"/>
      <c r="H80" s="17"/>
      <c r="I80" s="17"/>
      <c r="J80" s="17"/>
    </row>
    <row r="81" spans="1:10" x14ac:dyDescent="0.2">
      <c r="A81" s="79" t="s">
        <v>57</v>
      </c>
      <c r="B81" s="80" t="s">
        <v>58</v>
      </c>
      <c r="C81" s="105">
        <f>$C$80*2*C57</f>
        <v>96</v>
      </c>
      <c r="D81" s="78">
        <f>IFERROR((($C$80*2*$D$79)-(E49*0.06*C80/26))/($C$80*2),"-")</f>
        <v>4.2038461538461549</v>
      </c>
      <c r="E81" s="82">
        <f>IFERROR(C81*D81,"-")</f>
        <v>403.5692307692309</v>
      </c>
    </row>
    <row r="82" spans="1:10" x14ac:dyDescent="0.2">
      <c r="A82" s="75" t="s">
        <v>59</v>
      </c>
      <c r="B82" s="76" t="s">
        <v>58</v>
      </c>
      <c r="C82" s="105">
        <f>$C$80*2*C73</f>
        <v>48</v>
      </c>
      <c r="D82" s="78">
        <f>IFERROR((($C$80*2*$D$79)-(E63*0.06*C80/26))/($C$80*2),"-")</f>
        <v>3.4480769230769237</v>
      </c>
      <c r="E82" s="78">
        <f>IFERROR(C82*D82,"-")</f>
        <v>165.50769230769234</v>
      </c>
      <c r="G82" s="40"/>
      <c r="H82" s="17"/>
      <c r="I82" s="17"/>
      <c r="J82" s="17"/>
    </row>
    <row r="83" spans="1:10" x14ac:dyDescent="0.2">
      <c r="F83" s="106">
        <f>SUM(E81:E82)</f>
        <v>569.07692307692321</v>
      </c>
    </row>
    <row r="85" spans="1:10" x14ac:dyDescent="0.2">
      <c r="A85" s="14" t="s">
        <v>60</v>
      </c>
      <c r="F85" s="40"/>
      <c r="G85" s="14"/>
    </row>
    <row r="86" spans="1:10" x14ac:dyDescent="0.2">
      <c r="A86" s="71" t="s">
        <v>30</v>
      </c>
      <c r="B86" s="72" t="s">
        <v>3</v>
      </c>
      <c r="C86" s="72" t="s">
        <v>23</v>
      </c>
      <c r="D86" s="73" t="s">
        <v>31</v>
      </c>
      <c r="E86" s="73" t="s">
        <v>32</v>
      </c>
      <c r="F86" s="74" t="s">
        <v>33</v>
      </c>
      <c r="G86" s="14"/>
    </row>
    <row r="87" spans="1:10" ht="11.25" customHeight="1" x14ac:dyDescent="0.2">
      <c r="A87" s="79" t="str">
        <f>+A82</f>
        <v>Motorista</v>
      </c>
      <c r="B87" s="80" t="s">
        <v>61</v>
      </c>
      <c r="C87" s="107">
        <f>E33</f>
        <v>1</v>
      </c>
      <c r="D87" s="108">
        <v>430</v>
      </c>
      <c r="E87" s="90">
        <f>C87*D87</f>
        <v>430</v>
      </c>
      <c r="F87" s="40"/>
      <c r="G87" s="14"/>
    </row>
    <row r="88" spans="1:10" x14ac:dyDescent="0.2">
      <c r="A88" s="79">
        <f>+A83</f>
        <v>0</v>
      </c>
      <c r="B88" s="80" t="s">
        <v>61</v>
      </c>
      <c r="C88" s="107">
        <f>E34</f>
        <v>2</v>
      </c>
      <c r="D88" s="108">
        <v>430</v>
      </c>
      <c r="E88" s="90">
        <f>C88*D88</f>
        <v>860</v>
      </c>
      <c r="F88" s="40"/>
      <c r="G88" s="14"/>
    </row>
    <row r="89" spans="1:10" x14ac:dyDescent="0.2">
      <c r="D89" s="89" t="s">
        <v>47</v>
      </c>
      <c r="E89" s="90">
        <f>B37</f>
        <v>0.34</v>
      </c>
      <c r="F89" s="106">
        <f>SUM(E87:E88)*E89</f>
        <v>438.6</v>
      </c>
      <c r="G89" s="14"/>
    </row>
    <row r="90" spans="1:10" x14ac:dyDescent="0.2">
      <c r="G90" s="14"/>
    </row>
    <row r="91" spans="1:10" x14ac:dyDescent="0.2">
      <c r="A91" s="109" t="s">
        <v>62</v>
      </c>
      <c r="B91" s="110"/>
      <c r="C91" s="110"/>
      <c r="D91" s="46"/>
      <c r="E91" s="111"/>
      <c r="F91" s="106">
        <f>F89+F83+F74+F58</f>
        <v>5707.6130417189315</v>
      </c>
      <c r="G91" s="14"/>
    </row>
    <row r="92" spans="1:10" x14ac:dyDescent="0.2">
      <c r="G92" s="14"/>
    </row>
    <row r="93" spans="1:10" x14ac:dyDescent="0.2">
      <c r="A93" s="17" t="s">
        <v>63</v>
      </c>
      <c r="G93" s="14"/>
    </row>
    <row r="94" spans="1:10" x14ac:dyDescent="0.2">
      <c r="G94" s="14"/>
    </row>
    <row r="95" spans="1:10" x14ac:dyDescent="0.2">
      <c r="A95" s="14" t="s">
        <v>64</v>
      </c>
      <c r="G95" s="14"/>
    </row>
    <row r="96" spans="1:10" x14ac:dyDescent="0.2">
      <c r="G96" s="14"/>
    </row>
    <row r="97" spans="1:11" ht="24" x14ac:dyDescent="0.2">
      <c r="A97" s="71" t="s">
        <v>30</v>
      </c>
      <c r="B97" s="72" t="s">
        <v>3</v>
      </c>
      <c r="C97" s="112" t="s">
        <v>65</v>
      </c>
      <c r="D97" s="73" t="s">
        <v>31</v>
      </c>
      <c r="E97" s="73" t="s">
        <v>32</v>
      </c>
      <c r="F97" s="74" t="s">
        <v>33</v>
      </c>
      <c r="G97" s="14"/>
      <c r="K97" s="61"/>
    </row>
    <row r="98" spans="1:11" x14ac:dyDescent="0.2">
      <c r="A98" s="75" t="s">
        <v>66</v>
      </c>
      <c r="B98" s="76" t="s">
        <v>61</v>
      </c>
      <c r="C98" s="113">
        <v>12</v>
      </c>
      <c r="D98" s="77">
        <v>89</v>
      </c>
      <c r="E98" s="78">
        <f t="shared" ref="E98:E106" si="1">IFERROR(D98/C98,0)</f>
        <v>7.416666666666667</v>
      </c>
      <c r="G98" s="14"/>
    </row>
    <row r="99" spans="1:11" x14ac:dyDescent="0.2">
      <c r="A99" s="79" t="s">
        <v>67</v>
      </c>
      <c r="B99" s="80" t="s">
        <v>61</v>
      </c>
      <c r="C99" s="113">
        <v>6</v>
      </c>
      <c r="D99" s="77">
        <v>72.8</v>
      </c>
      <c r="E99" s="78">
        <f t="shared" si="1"/>
        <v>12.133333333333333</v>
      </c>
      <c r="G99" s="14"/>
    </row>
    <row r="100" spans="1:11" x14ac:dyDescent="0.2">
      <c r="A100" s="79" t="s">
        <v>68</v>
      </c>
      <c r="B100" s="80" t="s">
        <v>61</v>
      </c>
      <c r="C100" s="113">
        <v>6</v>
      </c>
      <c r="D100" s="77">
        <v>47.98</v>
      </c>
      <c r="E100" s="78">
        <f t="shared" si="1"/>
        <v>7.9966666666666661</v>
      </c>
      <c r="G100" s="14"/>
    </row>
    <row r="101" spans="1:11" x14ac:dyDescent="0.2">
      <c r="A101" s="79" t="s">
        <v>69</v>
      </c>
      <c r="B101" s="80" t="s">
        <v>61</v>
      </c>
      <c r="C101" s="113">
        <v>6</v>
      </c>
      <c r="D101" s="77">
        <v>15.11</v>
      </c>
      <c r="E101" s="78">
        <f t="shared" si="1"/>
        <v>2.5183333333333331</v>
      </c>
    </row>
    <row r="102" spans="1:11" x14ac:dyDescent="0.2">
      <c r="A102" s="79" t="s">
        <v>70</v>
      </c>
      <c r="B102" s="80" t="s">
        <v>71</v>
      </c>
      <c r="C102" s="113">
        <v>6</v>
      </c>
      <c r="D102" s="77">
        <v>53.26</v>
      </c>
      <c r="E102" s="78">
        <f t="shared" si="1"/>
        <v>8.8766666666666669</v>
      </c>
      <c r="G102" s="14"/>
    </row>
    <row r="103" spans="1:11" ht="13.5" customHeight="1" x14ac:dyDescent="0.2">
      <c r="A103" s="79" t="s">
        <v>72</v>
      </c>
      <c r="B103" s="80" t="s">
        <v>61</v>
      </c>
      <c r="C103" s="113">
        <v>6</v>
      </c>
      <c r="D103" s="77">
        <v>24.9</v>
      </c>
      <c r="E103" s="78">
        <f t="shared" si="1"/>
        <v>4.1499999999999995</v>
      </c>
      <c r="G103" s="14"/>
    </row>
    <row r="104" spans="1:11" x14ac:dyDescent="0.2">
      <c r="A104" s="79" t="s">
        <v>73</v>
      </c>
      <c r="B104" s="80" t="s">
        <v>71</v>
      </c>
      <c r="C104" s="113">
        <v>2</v>
      </c>
      <c r="D104" s="77">
        <v>10.69</v>
      </c>
      <c r="E104" s="78">
        <f t="shared" si="1"/>
        <v>5.3449999999999998</v>
      </c>
      <c r="G104" s="14"/>
    </row>
    <row r="105" spans="1:11" x14ac:dyDescent="0.2">
      <c r="A105" s="79" t="s">
        <v>74</v>
      </c>
      <c r="B105" s="80" t="s">
        <v>75</v>
      </c>
      <c r="C105" s="113">
        <v>2</v>
      </c>
      <c r="D105" s="77">
        <v>30.69</v>
      </c>
      <c r="E105" s="78">
        <f t="shared" si="1"/>
        <v>15.345000000000001</v>
      </c>
      <c r="G105" s="14"/>
    </row>
    <row r="106" spans="1:11" x14ac:dyDescent="0.2">
      <c r="A106" s="79" t="s">
        <v>76</v>
      </c>
      <c r="B106" s="80" t="s">
        <v>61</v>
      </c>
      <c r="C106" s="113">
        <v>6</v>
      </c>
      <c r="D106" s="77">
        <v>5.9</v>
      </c>
      <c r="E106" s="78">
        <f t="shared" si="1"/>
        <v>0.98333333333333339</v>
      </c>
      <c r="G106" s="14"/>
    </row>
    <row r="107" spans="1:11" x14ac:dyDescent="0.2">
      <c r="A107" s="79" t="s">
        <v>45</v>
      </c>
      <c r="B107" s="80" t="s">
        <v>46</v>
      </c>
      <c r="C107" s="88">
        <f>C57</f>
        <v>2</v>
      </c>
      <c r="D107" s="82">
        <f>+SUM(E98:E106)</f>
        <v>64.765000000000001</v>
      </c>
      <c r="E107" s="82">
        <f>C107*D107</f>
        <v>129.53</v>
      </c>
      <c r="G107" s="14"/>
    </row>
    <row r="108" spans="1:11" ht="12.75" customHeight="1" x14ac:dyDescent="0.2">
      <c r="D108" s="89" t="s">
        <v>47</v>
      </c>
      <c r="E108" s="90">
        <f>B37</f>
        <v>0.34</v>
      </c>
      <c r="F108" s="91">
        <f>E107*E108</f>
        <v>44.040200000000006</v>
      </c>
      <c r="G108" s="14"/>
    </row>
    <row r="109" spans="1:11" ht="13.5" customHeight="1" x14ac:dyDescent="0.2">
      <c r="G109" s="14"/>
    </row>
    <row r="110" spans="1:11" ht="12.75" customHeight="1" x14ac:dyDescent="0.2">
      <c r="A110" s="14" t="s">
        <v>77</v>
      </c>
    </row>
    <row r="112" spans="1:11" ht="24" x14ac:dyDescent="0.2">
      <c r="A112" s="71" t="s">
        <v>30</v>
      </c>
      <c r="B112" s="72" t="s">
        <v>3</v>
      </c>
      <c r="C112" s="112" t="s">
        <v>65</v>
      </c>
      <c r="D112" s="73" t="s">
        <v>31</v>
      </c>
      <c r="E112" s="73" t="s">
        <v>32</v>
      </c>
      <c r="F112" s="74" t="s">
        <v>33</v>
      </c>
      <c r="G112" s="114"/>
      <c r="H112" s="61"/>
      <c r="I112" s="61"/>
      <c r="J112" s="61"/>
    </row>
    <row r="113" spans="1:7" x14ac:dyDescent="0.2">
      <c r="A113" s="75" t="s">
        <v>66</v>
      </c>
      <c r="B113" s="76" t="s">
        <v>61</v>
      </c>
      <c r="C113" s="113">
        <f>C98</f>
        <v>12</v>
      </c>
      <c r="D113" s="77">
        <f>+D98</f>
        <v>89</v>
      </c>
      <c r="E113" s="78">
        <f t="shared" ref="E113:E118" si="2">IFERROR(D113/C113,0)</f>
        <v>7.416666666666667</v>
      </c>
    </row>
    <row r="114" spans="1:7" ht="12.75" customHeight="1" x14ac:dyDescent="0.2">
      <c r="A114" s="79" t="s">
        <v>67</v>
      </c>
      <c r="B114" s="80" t="s">
        <v>61</v>
      </c>
      <c r="C114" s="113">
        <f>C99</f>
        <v>6</v>
      </c>
      <c r="D114" s="108">
        <f>+D99</f>
        <v>72.8</v>
      </c>
      <c r="E114" s="78">
        <f t="shared" si="2"/>
        <v>12.133333333333333</v>
      </c>
    </row>
    <row r="115" spans="1:7" x14ac:dyDescent="0.2">
      <c r="A115" s="79" t="s">
        <v>68</v>
      </c>
      <c r="B115" s="80" t="s">
        <v>61</v>
      </c>
      <c r="C115" s="113">
        <f>C100</f>
        <v>6</v>
      </c>
      <c r="D115" s="108">
        <f>+D100</f>
        <v>47.98</v>
      </c>
      <c r="E115" s="78">
        <f t="shared" si="2"/>
        <v>7.9966666666666661</v>
      </c>
    </row>
    <row r="116" spans="1:7" x14ac:dyDescent="0.2">
      <c r="A116" s="79" t="str">
        <f>A102</f>
        <v>Tênis de segurança c/ palmilha aço</v>
      </c>
      <c r="B116" s="80" t="s">
        <v>71</v>
      </c>
      <c r="C116" s="113">
        <f>C102</f>
        <v>6</v>
      </c>
      <c r="D116" s="108">
        <f>+D102</f>
        <v>53.26</v>
      </c>
      <c r="E116" s="78">
        <f t="shared" si="2"/>
        <v>8.8766666666666669</v>
      </c>
    </row>
    <row r="117" spans="1:7" x14ac:dyDescent="0.2">
      <c r="A117" s="79" t="s">
        <v>72</v>
      </c>
      <c r="B117" s="80" t="s">
        <v>61</v>
      </c>
      <c r="C117" s="113">
        <f>C103</f>
        <v>6</v>
      </c>
      <c r="D117" s="108">
        <f>+D103</f>
        <v>24.9</v>
      </c>
      <c r="E117" s="78">
        <f t="shared" si="2"/>
        <v>4.1499999999999995</v>
      </c>
    </row>
    <row r="118" spans="1:7" ht="11.25" customHeight="1" x14ac:dyDescent="0.2">
      <c r="A118" s="79" t="s">
        <v>74</v>
      </c>
      <c r="B118" s="80" t="s">
        <v>75</v>
      </c>
      <c r="C118" s="113">
        <f>C105</f>
        <v>2</v>
      </c>
      <c r="D118" s="108">
        <f>+D105</f>
        <v>30.69</v>
      </c>
      <c r="E118" s="78">
        <f t="shared" si="2"/>
        <v>15.345000000000001</v>
      </c>
    </row>
    <row r="119" spans="1:7" ht="13.5" customHeight="1" x14ac:dyDescent="0.2">
      <c r="A119" s="79" t="str">
        <f>A106</f>
        <v xml:space="preserve">Óculos de sol </v>
      </c>
      <c r="B119" s="80" t="str">
        <f>B106</f>
        <v>unidade</v>
      </c>
      <c r="C119" s="113">
        <f>C106</f>
        <v>6</v>
      </c>
      <c r="D119" s="115">
        <f>D106</f>
        <v>5.9</v>
      </c>
      <c r="E119" s="82">
        <f>C119*D119</f>
        <v>35.400000000000006</v>
      </c>
    </row>
    <row r="120" spans="1:7" ht="11.25" customHeight="1" x14ac:dyDescent="0.2">
      <c r="A120" s="79" t="s">
        <v>45</v>
      </c>
      <c r="B120" s="80" t="s">
        <v>46</v>
      </c>
      <c r="C120" s="88">
        <f>C73</f>
        <v>1</v>
      </c>
      <c r="D120" s="82">
        <f>+SUM(E113:E119)</f>
        <v>91.318333333333328</v>
      </c>
      <c r="E120" s="82">
        <f>C120*D120</f>
        <v>91.318333333333328</v>
      </c>
    </row>
    <row r="121" spans="1:7" x14ac:dyDescent="0.2">
      <c r="D121" s="89" t="s">
        <v>47</v>
      </c>
      <c r="E121" s="90">
        <f>B37</f>
        <v>0.34</v>
      </c>
      <c r="F121" s="91">
        <f>E120*E121</f>
        <v>31.048233333333332</v>
      </c>
    </row>
    <row r="123" spans="1:7" x14ac:dyDescent="0.2">
      <c r="A123" s="109" t="s">
        <v>78</v>
      </c>
      <c r="B123" s="116"/>
      <c r="C123" s="116"/>
      <c r="D123" s="117"/>
      <c r="E123" s="118"/>
      <c r="F123" s="119">
        <f>+F108+F121</f>
        <v>75.088433333333342</v>
      </c>
    </row>
    <row r="125" spans="1:7" x14ac:dyDescent="0.2">
      <c r="A125" s="17" t="s">
        <v>79</v>
      </c>
    </row>
    <row r="126" spans="1:7" x14ac:dyDescent="0.2">
      <c r="B126" s="120"/>
      <c r="G126" s="14"/>
    </row>
    <row r="127" spans="1:7" x14ac:dyDescent="0.2">
      <c r="A127" s="14" t="s">
        <v>80</v>
      </c>
      <c r="G127" s="14"/>
    </row>
    <row r="128" spans="1:7" x14ac:dyDescent="0.2">
      <c r="G128" s="14"/>
    </row>
    <row r="129" spans="1:10" x14ac:dyDescent="0.2">
      <c r="A129" s="121" t="s">
        <v>81</v>
      </c>
      <c r="G129" s="14"/>
    </row>
    <row r="130" spans="1:10" x14ac:dyDescent="0.2">
      <c r="A130" s="71" t="s">
        <v>30</v>
      </c>
      <c r="B130" s="72" t="s">
        <v>3</v>
      </c>
      <c r="C130" s="72" t="s">
        <v>23</v>
      </c>
      <c r="D130" s="73" t="s">
        <v>31</v>
      </c>
      <c r="E130" s="73" t="s">
        <v>32</v>
      </c>
      <c r="F130" s="74" t="s">
        <v>33</v>
      </c>
      <c r="G130" s="14"/>
    </row>
    <row r="131" spans="1:10" ht="11.25" customHeight="1" x14ac:dyDescent="0.2">
      <c r="A131" s="75" t="s">
        <v>82</v>
      </c>
      <c r="B131" s="76" t="s">
        <v>61</v>
      </c>
      <c r="C131" s="76">
        <v>1</v>
      </c>
      <c r="D131" s="77">
        <v>568109</v>
      </c>
      <c r="E131" s="78">
        <f>C131*D131</f>
        <v>568109</v>
      </c>
      <c r="G131" s="14"/>
    </row>
    <row r="132" spans="1:10" x14ac:dyDescent="0.2">
      <c r="A132" s="79" t="s">
        <v>83</v>
      </c>
      <c r="B132" s="80" t="s">
        <v>84</v>
      </c>
      <c r="C132" s="80">
        <v>5</v>
      </c>
      <c r="D132" s="82"/>
      <c r="E132" s="82"/>
      <c r="G132" s="14"/>
    </row>
    <row r="133" spans="1:10" ht="11.25" customHeight="1" x14ac:dyDescent="0.2">
      <c r="A133" s="79" t="s">
        <v>85</v>
      </c>
      <c r="B133" s="80" t="s">
        <v>84</v>
      </c>
      <c r="C133" s="95">
        <v>0</v>
      </c>
      <c r="D133" s="82"/>
      <c r="E133" s="82"/>
      <c r="F133" s="122"/>
      <c r="G133" s="14"/>
    </row>
    <row r="134" spans="1:10" x14ac:dyDescent="0.2">
      <c r="A134" s="79" t="s">
        <v>86</v>
      </c>
      <c r="B134" s="80" t="s">
        <v>19</v>
      </c>
      <c r="C134" s="87">
        <f>IFERROR(VLOOKUP(C132,'5. Depreciação'!A3:B17,2,FALSE()),0)</f>
        <v>55.68</v>
      </c>
      <c r="D134" s="82">
        <f>E131</f>
        <v>568109</v>
      </c>
      <c r="E134" s="82">
        <f>C134*D134/100</f>
        <v>316323.09120000002</v>
      </c>
      <c r="G134" s="14"/>
    </row>
    <row r="135" spans="1:10" ht="11.25" customHeight="1" x14ac:dyDescent="0.2">
      <c r="A135" s="123" t="s">
        <v>87</v>
      </c>
      <c r="B135" s="124" t="s">
        <v>35</v>
      </c>
      <c r="C135" s="124">
        <f>C132*12</f>
        <v>60</v>
      </c>
      <c r="D135" s="125">
        <f>IF(C133&lt;=C132,E134,0)</f>
        <v>316323.09120000002</v>
      </c>
      <c r="E135" s="125">
        <f>IFERROR(D135/C135,0)</f>
        <v>5272.05152</v>
      </c>
      <c r="G135" s="14"/>
    </row>
    <row r="136" spans="1:10" x14ac:dyDescent="0.2">
      <c r="A136" s="75" t="s">
        <v>88</v>
      </c>
      <c r="B136" s="76" t="s">
        <v>61</v>
      </c>
      <c r="C136" s="76">
        <f>C131</f>
        <v>1</v>
      </c>
      <c r="D136" s="77">
        <v>185000</v>
      </c>
      <c r="E136" s="78">
        <f>C136*D136</f>
        <v>185000</v>
      </c>
      <c r="G136" s="14"/>
    </row>
    <row r="137" spans="1:10" ht="11.25" customHeight="1" x14ac:dyDescent="0.2">
      <c r="A137" s="79" t="s">
        <v>89</v>
      </c>
      <c r="B137" s="80" t="s">
        <v>84</v>
      </c>
      <c r="C137" s="80">
        <v>5</v>
      </c>
      <c r="D137" s="82"/>
      <c r="E137" s="82"/>
      <c r="G137" s="14"/>
    </row>
    <row r="138" spans="1:10" x14ac:dyDescent="0.2">
      <c r="A138" s="79" t="s">
        <v>90</v>
      </c>
      <c r="B138" s="80" t="s">
        <v>84</v>
      </c>
      <c r="C138" s="95">
        <v>0</v>
      </c>
      <c r="D138" s="82"/>
      <c r="E138" s="82"/>
      <c r="F138" s="122"/>
      <c r="G138" s="14"/>
    </row>
    <row r="139" spans="1:10" x14ac:dyDescent="0.2">
      <c r="A139" s="79" t="s">
        <v>91</v>
      </c>
      <c r="B139" s="80" t="s">
        <v>19</v>
      </c>
      <c r="C139" s="126">
        <f>IFERROR(VLOOKUP(C137,'5. Depreciação'!A3:B17,2,FALSE()),0)</f>
        <v>55.68</v>
      </c>
      <c r="D139" s="82">
        <f>E136</f>
        <v>185000</v>
      </c>
      <c r="E139" s="82">
        <f>C139*D139/100</f>
        <v>103008</v>
      </c>
      <c r="G139" s="14"/>
    </row>
    <row r="140" spans="1:10" x14ac:dyDescent="0.2">
      <c r="A140" s="96" t="s">
        <v>92</v>
      </c>
      <c r="B140" s="127" t="s">
        <v>35</v>
      </c>
      <c r="C140" s="127">
        <f>C137*12</f>
        <v>60</v>
      </c>
      <c r="D140" s="97">
        <f>IF(C138&lt;=C137,E139,0)</f>
        <v>103008</v>
      </c>
      <c r="E140" s="97">
        <f>IFERROR(D140/C140,0)</f>
        <v>1716.8</v>
      </c>
      <c r="G140" s="14"/>
    </row>
    <row r="141" spans="1:10" x14ac:dyDescent="0.2">
      <c r="A141" s="83" t="s">
        <v>93</v>
      </c>
      <c r="B141" s="84"/>
      <c r="C141" s="84"/>
      <c r="D141" s="85"/>
      <c r="E141" s="86">
        <f>E135+E140</f>
        <v>6988.8515200000002</v>
      </c>
      <c r="G141" s="14"/>
    </row>
    <row r="142" spans="1:10" x14ac:dyDescent="0.2">
      <c r="A142" s="96" t="s">
        <v>94</v>
      </c>
      <c r="B142" s="127" t="s">
        <v>61</v>
      </c>
      <c r="C142" s="88">
        <f>E41</f>
        <v>1</v>
      </c>
      <c r="D142" s="97">
        <f>E141</f>
        <v>6988.8515200000002</v>
      </c>
      <c r="E142" s="86">
        <f>C142*D142</f>
        <v>6988.8515200000002</v>
      </c>
      <c r="I142" s="128"/>
      <c r="J142" s="128"/>
    </row>
    <row r="143" spans="1:10" x14ac:dyDescent="0.2">
      <c r="A143" s="129"/>
      <c r="B143" s="129"/>
      <c r="C143" s="129"/>
      <c r="D143" s="89" t="s">
        <v>47</v>
      </c>
      <c r="E143" s="90">
        <f>$B$43</f>
        <v>0.25</v>
      </c>
      <c r="F143" s="119">
        <f>E142*E143</f>
        <v>1747.21288</v>
      </c>
    </row>
    <row r="145" spans="1:10" x14ac:dyDescent="0.2">
      <c r="A145" s="121" t="s">
        <v>95</v>
      </c>
      <c r="G145" s="14"/>
    </row>
    <row r="146" spans="1:10" x14ac:dyDescent="0.2">
      <c r="A146" s="130" t="s">
        <v>30</v>
      </c>
      <c r="B146" s="131" t="s">
        <v>3</v>
      </c>
      <c r="C146" s="131" t="s">
        <v>23</v>
      </c>
      <c r="D146" s="73" t="s">
        <v>31</v>
      </c>
      <c r="E146" s="132" t="s">
        <v>32</v>
      </c>
      <c r="F146" s="74" t="s">
        <v>33</v>
      </c>
    </row>
    <row r="147" spans="1:10" x14ac:dyDescent="0.2">
      <c r="A147" s="79" t="s">
        <v>96</v>
      </c>
      <c r="B147" s="80" t="s">
        <v>61</v>
      </c>
      <c r="C147" s="76">
        <v>1</v>
      </c>
      <c r="D147" s="82">
        <f>D131</f>
        <v>568109</v>
      </c>
      <c r="E147" s="82">
        <f>C147*D147</f>
        <v>568109</v>
      </c>
      <c r="F147" s="122"/>
      <c r="I147" s="128"/>
      <c r="J147" s="128"/>
    </row>
    <row r="148" spans="1:10" x14ac:dyDescent="0.2">
      <c r="A148" s="79" t="s">
        <v>97</v>
      </c>
      <c r="B148" s="80" t="s">
        <v>19</v>
      </c>
      <c r="C148" s="133">
        <v>0.155</v>
      </c>
      <c r="D148" s="82"/>
      <c r="E148" s="82"/>
      <c r="F148" s="122"/>
    </row>
    <row r="149" spans="1:10" x14ac:dyDescent="0.2">
      <c r="A149" s="79" t="s">
        <v>98</v>
      </c>
      <c r="B149" s="80" t="s">
        <v>40</v>
      </c>
      <c r="C149" s="134">
        <f>IFERROR(IF(C133&lt;=C132,E131-(C134/(100*C132)*C133)*E131,E131-E134),0)</f>
        <v>568109</v>
      </c>
      <c r="D149" s="82"/>
      <c r="E149" s="82"/>
      <c r="F149" s="122"/>
    </row>
    <row r="150" spans="1:10" x14ac:dyDescent="0.2">
      <c r="A150" s="79" t="s">
        <v>99</v>
      </c>
      <c r="B150" s="80" t="s">
        <v>40</v>
      </c>
      <c r="C150" s="82">
        <f>IFERROR(IF(C133&gt;=C132,C149,((((C149)-(E131-E134))*(((C132-C133)+1)/(2*(C132-C133))))+(E131-E134))),0)</f>
        <v>441579.76351999998</v>
      </c>
      <c r="D150" s="82"/>
      <c r="E150" s="82"/>
      <c r="F150" s="122"/>
    </row>
    <row r="151" spans="1:10" x14ac:dyDescent="0.2">
      <c r="A151" s="123" t="s">
        <v>100</v>
      </c>
      <c r="B151" s="124" t="s">
        <v>40</v>
      </c>
      <c r="C151" s="124"/>
      <c r="D151" s="125">
        <f>C148*C150/12</f>
        <v>5703.7386121333329</v>
      </c>
      <c r="E151" s="125">
        <f>D151</f>
        <v>5703.7386121333329</v>
      </c>
      <c r="F151" s="122"/>
    </row>
    <row r="152" spans="1:10" x14ac:dyDescent="0.2">
      <c r="A152" s="75" t="s">
        <v>101</v>
      </c>
      <c r="B152" s="76" t="s">
        <v>61</v>
      </c>
      <c r="C152" s="76">
        <f>C136</f>
        <v>1</v>
      </c>
      <c r="D152" s="78">
        <f>D136</f>
        <v>185000</v>
      </c>
      <c r="E152" s="78">
        <f>C152*D152</f>
        <v>185000</v>
      </c>
      <c r="F152" s="122"/>
    </row>
    <row r="153" spans="1:10" ht="11.25" customHeight="1" x14ac:dyDescent="0.2">
      <c r="A153" s="79" t="s">
        <v>97</v>
      </c>
      <c r="B153" s="80" t="s">
        <v>19</v>
      </c>
      <c r="C153" s="133">
        <v>0.155</v>
      </c>
      <c r="D153" s="82"/>
      <c r="E153" s="82"/>
      <c r="F153" s="122"/>
    </row>
    <row r="154" spans="1:10" x14ac:dyDescent="0.2">
      <c r="A154" s="79" t="s">
        <v>102</v>
      </c>
      <c r="B154" s="80" t="s">
        <v>40</v>
      </c>
      <c r="C154" s="134">
        <f>IFERROR(IF(C138&lt;=C137,E136-(C139/(100*C137)*C138)*E136,E136-E139),0)</f>
        <v>185000</v>
      </c>
      <c r="D154" s="82"/>
      <c r="E154" s="82"/>
      <c r="F154" s="122"/>
    </row>
    <row r="155" spans="1:10" x14ac:dyDescent="0.2">
      <c r="A155" s="79" t="s">
        <v>103</v>
      </c>
      <c r="B155" s="80" t="s">
        <v>40</v>
      </c>
      <c r="C155" s="82">
        <f>IFERROR(IF(C138&gt;=C137,C154,((((C154)-(E136-E139))*(((C137-C138)+1)/(2*(C137-C138))))+(E136-E139))),0)</f>
        <v>143796.79999999999</v>
      </c>
      <c r="D155" s="82"/>
      <c r="E155" s="82"/>
      <c r="F155" s="122"/>
      <c r="I155" s="128"/>
      <c r="J155" s="128"/>
    </row>
    <row r="156" spans="1:10" x14ac:dyDescent="0.2">
      <c r="A156" s="96" t="s">
        <v>104</v>
      </c>
      <c r="B156" s="127" t="s">
        <v>40</v>
      </c>
      <c r="C156" s="127"/>
      <c r="D156" s="97">
        <f>C153*C155/12</f>
        <v>1857.3753333333332</v>
      </c>
      <c r="E156" s="97">
        <f>D156</f>
        <v>1857.3753333333332</v>
      </c>
      <c r="F156" s="122"/>
      <c r="I156" s="128"/>
      <c r="J156" s="128"/>
    </row>
    <row r="157" spans="1:10" x14ac:dyDescent="0.2">
      <c r="A157" s="83" t="s">
        <v>93</v>
      </c>
      <c r="B157" s="84"/>
      <c r="C157" s="84"/>
      <c r="D157" s="85"/>
      <c r="E157" s="86">
        <f>E151+E156</f>
        <v>7561.1139454666663</v>
      </c>
      <c r="F157" s="122"/>
      <c r="I157" s="128"/>
      <c r="J157" s="128"/>
    </row>
    <row r="158" spans="1:10" x14ac:dyDescent="0.2">
      <c r="A158" s="96" t="s">
        <v>94</v>
      </c>
      <c r="B158" s="127" t="s">
        <v>61</v>
      </c>
      <c r="C158" s="88">
        <f>C142</f>
        <v>1</v>
      </c>
      <c r="D158" s="97">
        <f>E157</f>
        <v>7561.1139454666663</v>
      </c>
      <c r="E158" s="86">
        <f>C158*D158</f>
        <v>7561.1139454666663</v>
      </c>
      <c r="F158" s="122"/>
      <c r="I158" s="128"/>
      <c r="J158" s="128"/>
    </row>
    <row r="159" spans="1:10" x14ac:dyDescent="0.2">
      <c r="C159" s="135"/>
      <c r="D159" s="89" t="s">
        <v>47</v>
      </c>
      <c r="E159" s="90">
        <f>$B$43</f>
        <v>0.25</v>
      </c>
      <c r="F159" s="119">
        <f>E158*E159</f>
        <v>1890.2784863666666</v>
      </c>
      <c r="I159" s="128"/>
      <c r="J159" s="128"/>
    </row>
    <row r="160" spans="1:10" x14ac:dyDescent="0.2">
      <c r="I160" s="128"/>
      <c r="J160" s="128"/>
    </row>
    <row r="161" spans="1:10" x14ac:dyDescent="0.2">
      <c r="A161" s="14" t="s">
        <v>105</v>
      </c>
      <c r="I161" s="128"/>
      <c r="J161" s="128"/>
    </row>
    <row r="162" spans="1:10" x14ac:dyDescent="0.2">
      <c r="A162" s="71" t="s">
        <v>30</v>
      </c>
      <c r="B162" s="72" t="s">
        <v>3</v>
      </c>
      <c r="C162" s="72" t="s">
        <v>23</v>
      </c>
      <c r="D162" s="73" t="s">
        <v>31</v>
      </c>
      <c r="E162" s="73" t="s">
        <v>32</v>
      </c>
      <c r="F162" s="74" t="s">
        <v>33</v>
      </c>
      <c r="I162" s="128"/>
      <c r="J162" s="128"/>
    </row>
    <row r="163" spans="1:10" x14ac:dyDescent="0.2">
      <c r="A163" s="75" t="s">
        <v>106</v>
      </c>
      <c r="B163" s="76" t="s">
        <v>61</v>
      </c>
      <c r="C163" s="78">
        <f>C142</f>
        <v>1</v>
      </c>
      <c r="D163" s="78">
        <f>0.01*($E$131)</f>
        <v>5681.09</v>
      </c>
      <c r="E163" s="78">
        <f>C163*D163</f>
        <v>5681.09</v>
      </c>
      <c r="I163" s="128"/>
      <c r="J163" s="128"/>
    </row>
    <row r="164" spans="1:10" x14ac:dyDescent="0.2">
      <c r="A164" s="79" t="s">
        <v>107</v>
      </c>
      <c r="B164" s="80" t="s">
        <v>61</v>
      </c>
      <c r="C164" s="78">
        <f>C142</f>
        <v>1</v>
      </c>
      <c r="D164" s="82">
        <f>142.69+12.3</f>
        <v>154.99</v>
      </c>
      <c r="E164" s="82">
        <f>C164*D164</f>
        <v>154.99</v>
      </c>
      <c r="I164" s="128"/>
      <c r="J164" s="128"/>
    </row>
    <row r="165" spans="1:10" x14ac:dyDescent="0.2">
      <c r="A165" s="79" t="s">
        <v>108</v>
      </c>
      <c r="B165" s="80" t="s">
        <v>61</v>
      </c>
      <c r="C165" s="78">
        <f>C142</f>
        <v>1</v>
      </c>
      <c r="D165" s="108">
        <v>1500</v>
      </c>
      <c r="E165" s="82">
        <f>C165*D165</f>
        <v>1500</v>
      </c>
      <c r="F165" s="85"/>
      <c r="I165" s="128"/>
      <c r="J165" s="128"/>
    </row>
    <row r="166" spans="1:10" x14ac:dyDescent="0.2">
      <c r="A166" s="96" t="s">
        <v>109</v>
      </c>
      <c r="B166" s="127" t="s">
        <v>35</v>
      </c>
      <c r="C166" s="127">
        <v>12</v>
      </c>
      <c r="D166" s="97">
        <f>SUM(E163:E165)</f>
        <v>7336.08</v>
      </c>
      <c r="E166" s="97">
        <f>D166/C166</f>
        <v>611.34</v>
      </c>
      <c r="I166" s="128"/>
      <c r="J166" s="128"/>
    </row>
    <row r="167" spans="1:10" x14ac:dyDescent="0.2">
      <c r="D167" s="89" t="s">
        <v>47</v>
      </c>
      <c r="E167" s="90">
        <f>$B$43</f>
        <v>0.25</v>
      </c>
      <c r="F167" s="91">
        <f>E166*E167</f>
        <v>152.83500000000001</v>
      </c>
      <c r="I167" s="128"/>
      <c r="J167" s="128"/>
    </row>
    <row r="168" spans="1:10" x14ac:dyDescent="0.2">
      <c r="I168" s="128"/>
      <c r="J168" s="128"/>
    </row>
    <row r="169" spans="1:10" ht="11.25" customHeight="1" x14ac:dyDescent="0.2">
      <c r="A169" s="14" t="s">
        <v>110</v>
      </c>
      <c r="B169" s="136"/>
      <c r="I169" s="128"/>
      <c r="J169" s="128"/>
    </row>
    <row r="170" spans="1:10" x14ac:dyDescent="0.2">
      <c r="B170" s="136"/>
      <c r="I170" s="128"/>
      <c r="J170" s="128"/>
    </row>
    <row r="171" spans="1:10" x14ac:dyDescent="0.2">
      <c r="A171" s="96" t="s">
        <v>111</v>
      </c>
      <c r="B171" s="137">
        <v>1360</v>
      </c>
      <c r="I171" s="128"/>
      <c r="J171" s="128"/>
    </row>
    <row r="172" spans="1:10" x14ac:dyDescent="0.2">
      <c r="B172" s="136"/>
      <c r="I172" s="128"/>
      <c r="J172" s="128"/>
    </row>
    <row r="173" spans="1:10" x14ac:dyDescent="0.2">
      <c r="A173" s="71" t="s">
        <v>30</v>
      </c>
      <c r="B173" s="72" t="s">
        <v>3</v>
      </c>
      <c r="C173" s="72" t="s">
        <v>112</v>
      </c>
      <c r="D173" s="73" t="s">
        <v>31</v>
      </c>
      <c r="E173" s="73" t="s">
        <v>32</v>
      </c>
      <c r="F173" s="74" t="s">
        <v>33</v>
      </c>
      <c r="I173" s="128"/>
      <c r="J173" s="128"/>
    </row>
    <row r="174" spans="1:10" x14ac:dyDescent="0.2">
      <c r="A174" s="75" t="s">
        <v>113</v>
      </c>
      <c r="B174" s="76" t="s">
        <v>114</v>
      </c>
      <c r="C174" s="138">
        <v>2.1</v>
      </c>
      <c r="D174" s="139">
        <v>6.19</v>
      </c>
      <c r="E174" s="78"/>
      <c r="I174" s="128"/>
      <c r="J174" s="128"/>
    </row>
    <row r="175" spans="1:10" x14ac:dyDescent="0.2">
      <c r="A175" s="79" t="s">
        <v>115</v>
      </c>
      <c r="B175" s="80" t="s">
        <v>116</v>
      </c>
      <c r="C175" s="102">
        <f>B171</f>
        <v>1360</v>
      </c>
      <c r="D175" s="140">
        <f>IFERROR(+D174/C174,"-")</f>
        <v>2.9476190476190478</v>
      </c>
      <c r="E175" s="82">
        <f>IFERROR(C175*D175,"-")</f>
        <v>4008.761904761905</v>
      </c>
      <c r="I175" s="128"/>
      <c r="J175" s="128"/>
    </row>
    <row r="176" spans="1:10" x14ac:dyDescent="0.2">
      <c r="A176" s="79" t="s">
        <v>117</v>
      </c>
      <c r="B176" s="80" t="s">
        <v>118</v>
      </c>
      <c r="C176" s="141">
        <v>2.2000000000000002</v>
      </c>
      <c r="D176" s="108">
        <v>21.53</v>
      </c>
      <c r="E176" s="82"/>
      <c r="I176" s="128"/>
      <c r="J176" s="128"/>
    </row>
    <row r="177" spans="1:10" ht="11.25" customHeight="1" x14ac:dyDescent="0.2">
      <c r="A177" s="79" t="s">
        <v>119</v>
      </c>
      <c r="B177" s="80" t="s">
        <v>116</v>
      </c>
      <c r="C177" s="102">
        <f>C175</f>
        <v>1360</v>
      </c>
      <c r="D177" s="142">
        <f>+C176*D176/1000</f>
        <v>4.7366000000000005E-2</v>
      </c>
      <c r="E177" s="82">
        <f>C177*D177</f>
        <v>64.417760000000001</v>
      </c>
      <c r="I177" s="128"/>
      <c r="J177" s="128"/>
    </row>
    <row r="178" spans="1:10" x14ac:dyDescent="0.2">
      <c r="A178" s="79" t="s">
        <v>120</v>
      </c>
      <c r="B178" s="80" t="s">
        <v>118</v>
      </c>
      <c r="C178" s="141">
        <v>0.2</v>
      </c>
      <c r="D178" s="108">
        <v>72.260000000000005</v>
      </c>
      <c r="E178" s="82"/>
      <c r="I178" s="128"/>
      <c r="J178" s="128"/>
    </row>
    <row r="179" spans="1:10" x14ac:dyDescent="0.2">
      <c r="A179" s="79" t="s">
        <v>121</v>
      </c>
      <c r="B179" s="80" t="s">
        <v>116</v>
      </c>
      <c r="C179" s="102">
        <f>C175</f>
        <v>1360</v>
      </c>
      <c r="D179" s="142">
        <f>+C178*D178/1000</f>
        <v>1.4452000000000001E-2</v>
      </c>
      <c r="E179" s="82">
        <f>C179*D179</f>
        <v>19.654720000000001</v>
      </c>
      <c r="I179" s="128"/>
      <c r="J179" s="128"/>
    </row>
    <row r="180" spans="1:10" x14ac:dyDescent="0.2">
      <c r="A180" s="79" t="s">
        <v>122</v>
      </c>
      <c r="B180" s="80" t="s">
        <v>118</v>
      </c>
      <c r="C180" s="141">
        <v>8</v>
      </c>
      <c r="D180" s="108">
        <v>17.510000000000002</v>
      </c>
      <c r="E180" s="82"/>
      <c r="I180" s="128"/>
      <c r="J180" s="128"/>
    </row>
    <row r="181" spans="1:10" x14ac:dyDescent="0.2">
      <c r="A181" s="79" t="s">
        <v>123</v>
      </c>
      <c r="B181" s="80" t="s">
        <v>116</v>
      </c>
      <c r="C181" s="102">
        <f>C175</f>
        <v>1360</v>
      </c>
      <c r="D181" s="142">
        <f>+C180*D180/1000</f>
        <v>0.14008000000000001</v>
      </c>
      <c r="E181" s="82">
        <f>C181*D181</f>
        <v>190.50880000000001</v>
      </c>
      <c r="I181" s="128"/>
      <c r="J181" s="128"/>
    </row>
    <row r="182" spans="1:10" x14ac:dyDescent="0.2">
      <c r="A182" s="79" t="s">
        <v>124</v>
      </c>
      <c r="B182" s="80" t="s">
        <v>125</v>
      </c>
      <c r="C182" s="141">
        <v>0.8</v>
      </c>
      <c r="D182" s="108">
        <v>49.93</v>
      </c>
      <c r="E182" s="82"/>
      <c r="I182" s="128"/>
      <c r="J182" s="128"/>
    </row>
    <row r="183" spans="1:10" x14ac:dyDescent="0.2">
      <c r="A183" s="79" t="s">
        <v>126</v>
      </c>
      <c r="B183" s="80" t="s">
        <v>116</v>
      </c>
      <c r="C183" s="102">
        <f>C175</f>
        <v>1360</v>
      </c>
      <c r="D183" s="142">
        <f>+C182*D182/1000</f>
        <v>3.9944E-2</v>
      </c>
      <c r="E183" s="82">
        <f>C183*D183</f>
        <v>54.323839999999997</v>
      </c>
      <c r="I183" s="128"/>
      <c r="J183" s="128"/>
    </row>
    <row r="184" spans="1:10" x14ac:dyDescent="0.2">
      <c r="A184" s="96" t="s">
        <v>127</v>
      </c>
      <c r="B184" s="127" t="s">
        <v>128</v>
      </c>
      <c r="C184" s="143"/>
      <c r="D184" s="144">
        <f>IFERROR(D175+D177+D179+D181+D183,0)</f>
        <v>3.1894610476190479</v>
      </c>
      <c r="E184" s="82"/>
      <c r="I184" s="128"/>
      <c r="J184" s="128"/>
    </row>
    <row r="185" spans="1:10" x14ac:dyDescent="0.2">
      <c r="F185" s="119">
        <f>SUM(E174:E183)</f>
        <v>4337.6670247619049</v>
      </c>
      <c r="I185" s="128"/>
      <c r="J185" s="128"/>
    </row>
    <row r="186" spans="1:10" x14ac:dyDescent="0.2">
      <c r="I186" s="128"/>
      <c r="J186" s="128"/>
    </row>
    <row r="187" spans="1:10" x14ac:dyDescent="0.2">
      <c r="A187" s="14" t="s">
        <v>129</v>
      </c>
      <c r="I187" s="128"/>
      <c r="J187" s="128"/>
    </row>
    <row r="188" spans="1:10" x14ac:dyDescent="0.2">
      <c r="A188" s="71" t="s">
        <v>30</v>
      </c>
      <c r="B188" s="72" t="s">
        <v>3</v>
      </c>
      <c r="C188" s="72" t="s">
        <v>23</v>
      </c>
      <c r="D188" s="73" t="s">
        <v>31</v>
      </c>
      <c r="E188" s="73" t="s">
        <v>32</v>
      </c>
      <c r="F188" s="74" t="s">
        <v>33</v>
      </c>
      <c r="I188" s="128"/>
      <c r="J188" s="128"/>
    </row>
    <row r="189" spans="1:10" x14ac:dyDescent="0.2">
      <c r="A189" s="75" t="s">
        <v>130</v>
      </c>
      <c r="B189" s="76" t="s">
        <v>128</v>
      </c>
      <c r="C189" s="102">
        <f>C175</f>
        <v>1360</v>
      </c>
      <c r="D189" s="77">
        <v>1.0202100000000001</v>
      </c>
      <c r="E189" s="78">
        <f>C189*D189</f>
        <v>1387.4856</v>
      </c>
      <c r="I189" s="128"/>
      <c r="J189" s="128"/>
    </row>
    <row r="190" spans="1:10" x14ac:dyDescent="0.2">
      <c r="F190" s="119">
        <f>E189</f>
        <v>1387.4856</v>
      </c>
      <c r="I190" s="128"/>
      <c r="J190" s="128"/>
    </row>
    <row r="191" spans="1:10" x14ac:dyDescent="0.2">
      <c r="I191" s="128"/>
      <c r="J191" s="128"/>
    </row>
    <row r="192" spans="1:10" x14ac:dyDescent="0.2">
      <c r="A192" s="14" t="s">
        <v>131</v>
      </c>
      <c r="I192" s="128"/>
      <c r="J192" s="128"/>
    </row>
    <row r="193" spans="1:10" x14ac:dyDescent="0.2">
      <c r="A193" s="71" t="s">
        <v>30</v>
      </c>
      <c r="B193" s="72" t="s">
        <v>3</v>
      </c>
      <c r="C193" s="72" t="s">
        <v>23</v>
      </c>
      <c r="D193" s="73" t="s">
        <v>31</v>
      </c>
      <c r="E193" s="73" t="s">
        <v>32</v>
      </c>
      <c r="F193" s="74" t="s">
        <v>33</v>
      </c>
      <c r="I193" s="128"/>
      <c r="J193" s="128"/>
    </row>
    <row r="194" spans="1:10" x14ac:dyDescent="0.2">
      <c r="A194" s="75" t="s">
        <v>132</v>
      </c>
      <c r="B194" s="76" t="s">
        <v>61</v>
      </c>
      <c r="C194" s="76">
        <v>10</v>
      </c>
      <c r="D194" s="77">
        <v>2090.7199999999998</v>
      </c>
      <c r="E194" s="78">
        <f>C194*D194</f>
        <v>20907.199999999997</v>
      </c>
      <c r="I194" s="128"/>
      <c r="J194" s="128"/>
    </row>
    <row r="195" spans="1:10" ht="11.25" customHeight="1" x14ac:dyDescent="0.2">
      <c r="A195" s="75" t="s">
        <v>133</v>
      </c>
      <c r="B195" s="76" t="s">
        <v>61</v>
      </c>
      <c r="C195" s="76">
        <v>2</v>
      </c>
      <c r="D195" s="78"/>
      <c r="E195" s="78"/>
      <c r="I195" s="128"/>
      <c r="J195" s="128"/>
    </row>
    <row r="196" spans="1:10" x14ac:dyDescent="0.2">
      <c r="A196" s="75" t="s">
        <v>134</v>
      </c>
      <c r="B196" s="76" t="s">
        <v>61</v>
      </c>
      <c r="C196" s="78">
        <f>C194*C195</f>
        <v>20</v>
      </c>
      <c r="D196" s="77">
        <v>800</v>
      </c>
      <c r="E196" s="78">
        <f>C196*D196</f>
        <v>16000</v>
      </c>
      <c r="I196" s="128"/>
      <c r="J196" s="128"/>
    </row>
    <row r="197" spans="1:10" x14ac:dyDescent="0.2">
      <c r="A197" s="79" t="s">
        <v>135</v>
      </c>
      <c r="B197" s="80" t="s">
        <v>136</v>
      </c>
      <c r="C197" s="145">
        <v>62450</v>
      </c>
      <c r="D197" s="82">
        <f>E194+E196</f>
        <v>36907.199999999997</v>
      </c>
      <c r="E197" s="82">
        <f>IFERROR(D197/C197,"-")</f>
        <v>0.59098799039231376</v>
      </c>
      <c r="I197" s="128"/>
      <c r="J197" s="128"/>
    </row>
    <row r="198" spans="1:10" x14ac:dyDescent="0.2">
      <c r="A198" s="79" t="s">
        <v>137</v>
      </c>
      <c r="B198" s="80" t="s">
        <v>116</v>
      </c>
      <c r="C198" s="102">
        <f>B171</f>
        <v>1360</v>
      </c>
      <c r="D198" s="82">
        <f>E197</f>
        <v>0.59098799039231376</v>
      </c>
      <c r="E198" s="82">
        <f>IFERROR(C198*D198,0)</f>
        <v>803.74366693354671</v>
      </c>
      <c r="I198" s="128"/>
      <c r="J198" s="128"/>
    </row>
    <row r="199" spans="1:10" x14ac:dyDescent="0.2">
      <c r="F199" s="119">
        <f>E198</f>
        <v>803.74366693354671</v>
      </c>
      <c r="I199" s="128"/>
      <c r="J199" s="128"/>
    </row>
    <row r="200" spans="1:10" ht="11.25" customHeight="1" x14ac:dyDescent="0.2">
      <c r="I200" s="128"/>
      <c r="J200" s="128"/>
    </row>
    <row r="201" spans="1:10" x14ac:dyDescent="0.2">
      <c r="I201" s="128"/>
      <c r="J201" s="128"/>
    </row>
    <row r="202" spans="1:10" x14ac:dyDescent="0.2">
      <c r="A202" s="109" t="s">
        <v>138</v>
      </c>
      <c r="B202" s="110"/>
      <c r="C202" s="110"/>
      <c r="D202" s="46"/>
      <c r="E202" s="111"/>
      <c r="F202" s="119">
        <f>+SUM(F131:F201)</f>
        <v>10319.222658062119</v>
      </c>
      <c r="I202" s="128"/>
      <c r="J202" s="128"/>
    </row>
    <row r="203" spans="1:10" x14ac:dyDescent="0.2">
      <c r="I203" s="128"/>
      <c r="J203" s="128"/>
    </row>
    <row r="204" spans="1:10" x14ac:dyDescent="0.2">
      <c r="A204" s="17" t="s">
        <v>139</v>
      </c>
      <c r="B204" s="17"/>
      <c r="C204" s="17"/>
      <c r="D204" s="40"/>
      <c r="E204" s="40"/>
      <c r="F204" s="85"/>
      <c r="I204" s="128"/>
      <c r="J204" s="128"/>
    </row>
    <row r="205" spans="1:10" x14ac:dyDescent="0.2">
      <c r="I205" s="128"/>
      <c r="J205" s="128"/>
    </row>
    <row r="206" spans="1:10" x14ac:dyDescent="0.2">
      <c r="A206" s="71" t="s">
        <v>30</v>
      </c>
      <c r="B206" s="72" t="s">
        <v>3</v>
      </c>
      <c r="C206" s="72" t="s">
        <v>23</v>
      </c>
      <c r="D206" s="73" t="s">
        <v>31</v>
      </c>
      <c r="E206" s="73" t="s">
        <v>32</v>
      </c>
      <c r="F206" s="74" t="s">
        <v>33</v>
      </c>
      <c r="I206" s="128"/>
      <c r="J206" s="128"/>
    </row>
    <row r="207" spans="1:10" x14ac:dyDescent="0.2">
      <c r="A207" s="79" t="s">
        <v>140</v>
      </c>
      <c r="B207" s="80" t="s">
        <v>61</v>
      </c>
      <c r="C207" s="113">
        <v>0.16666666666666699</v>
      </c>
      <c r="D207" s="77">
        <v>49.9</v>
      </c>
      <c r="E207" s="82">
        <f>C207*D207</f>
        <v>8.3166666666666824</v>
      </c>
      <c r="F207" s="122"/>
      <c r="I207" s="128"/>
      <c r="J207" s="128"/>
    </row>
    <row r="208" spans="1:10" x14ac:dyDescent="0.2">
      <c r="A208" s="79" t="s">
        <v>141</v>
      </c>
      <c r="B208" s="80" t="s">
        <v>61</v>
      </c>
      <c r="C208" s="113">
        <v>0.16666666666666699</v>
      </c>
      <c r="D208" s="77">
        <v>39.9</v>
      </c>
      <c r="E208" s="82">
        <f>C208*D208</f>
        <v>6.6500000000000128</v>
      </c>
      <c r="F208" s="122"/>
      <c r="I208" s="128"/>
      <c r="J208" s="128"/>
    </row>
    <row r="209" spans="1:11" ht="11.25" customHeight="1" x14ac:dyDescent="0.2">
      <c r="A209" s="79" t="s">
        <v>142</v>
      </c>
      <c r="B209" s="80" t="s">
        <v>61</v>
      </c>
      <c r="C209" s="113">
        <v>0.33333333333333298</v>
      </c>
      <c r="D209" s="77">
        <v>49.99</v>
      </c>
      <c r="E209" s="82">
        <f>C209*D209</f>
        <v>16.663333333333316</v>
      </c>
      <c r="F209" s="122"/>
      <c r="I209" s="128"/>
      <c r="J209" s="128"/>
    </row>
    <row r="210" spans="1:11" ht="11.25" customHeight="1" x14ac:dyDescent="0.2">
      <c r="A210" s="79" t="s">
        <v>143</v>
      </c>
      <c r="B210" s="80" t="s">
        <v>144</v>
      </c>
      <c r="C210" s="113">
        <v>8.3333333333333301E-2</v>
      </c>
      <c r="D210" s="77">
        <v>899</v>
      </c>
      <c r="E210" s="82">
        <f>C210*D210</f>
        <v>74.916666666666643</v>
      </c>
      <c r="F210" s="122"/>
      <c r="G210" s="14"/>
    </row>
    <row r="211" spans="1:11" x14ac:dyDescent="0.2">
      <c r="A211" s="79" t="s">
        <v>145</v>
      </c>
      <c r="B211" s="80" t="s">
        <v>144</v>
      </c>
      <c r="C211" s="113">
        <v>8.3333333333333301E-2</v>
      </c>
      <c r="D211" s="77">
        <v>85</v>
      </c>
      <c r="E211" s="82">
        <f>C211*D211</f>
        <v>7.0833333333333304</v>
      </c>
      <c r="F211" s="122"/>
      <c r="G211" s="14"/>
    </row>
    <row r="212" spans="1:11" ht="11.25" customHeight="1" x14ac:dyDescent="0.2">
      <c r="A212" s="17"/>
      <c r="B212" s="17"/>
      <c r="C212" s="17"/>
      <c r="D212" s="17"/>
      <c r="E212" s="40"/>
      <c r="F212" s="119">
        <f>SUM(E207:E211)-0.01</f>
        <v>113.61999999999998</v>
      </c>
      <c r="G212" s="14"/>
    </row>
    <row r="213" spans="1:11" x14ac:dyDescent="0.2">
      <c r="G213" s="14"/>
    </row>
    <row r="214" spans="1:11" x14ac:dyDescent="0.2">
      <c r="G214" s="14"/>
    </row>
    <row r="215" spans="1:11" ht="11.25" customHeight="1" x14ac:dyDescent="0.2">
      <c r="A215" s="109" t="s">
        <v>146</v>
      </c>
      <c r="B215" s="110"/>
      <c r="C215" s="110"/>
      <c r="D215" s="46"/>
      <c r="E215" s="111"/>
      <c r="F215" s="119">
        <f>F212</f>
        <v>113.61999999999998</v>
      </c>
      <c r="G215" s="14"/>
    </row>
    <row r="216" spans="1:11" x14ac:dyDescent="0.2">
      <c r="G216" s="14"/>
    </row>
    <row r="217" spans="1:11" x14ac:dyDescent="0.2">
      <c r="A217" s="17" t="s">
        <v>147</v>
      </c>
      <c r="B217" s="17"/>
      <c r="C217" s="17"/>
      <c r="D217" s="40"/>
      <c r="E217" s="40"/>
      <c r="F217" s="85"/>
      <c r="G217" s="14"/>
      <c r="K217" s="146"/>
    </row>
    <row r="218" spans="1:11" x14ac:dyDescent="0.2">
      <c r="G218" s="14"/>
    </row>
    <row r="219" spans="1:11" x14ac:dyDescent="0.2">
      <c r="A219" s="71" t="s">
        <v>30</v>
      </c>
      <c r="B219" s="72" t="s">
        <v>3</v>
      </c>
      <c r="C219" s="72" t="s">
        <v>23</v>
      </c>
      <c r="D219" s="73" t="s">
        <v>31</v>
      </c>
      <c r="E219" s="73" t="s">
        <v>32</v>
      </c>
      <c r="F219" s="74" t="s">
        <v>33</v>
      </c>
      <c r="G219" s="14"/>
    </row>
    <row r="220" spans="1:11" x14ac:dyDescent="0.2">
      <c r="A220" s="79" t="s">
        <v>148</v>
      </c>
      <c r="B220" s="147" t="s">
        <v>144</v>
      </c>
      <c r="C220" s="148">
        <f>C142</f>
        <v>1</v>
      </c>
      <c r="D220" s="108">
        <v>199</v>
      </c>
      <c r="E220" s="82">
        <f>+D220*C220</f>
        <v>199</v>
      </c>
      <c r="F220" s="122"/>
      <c r="G220" s="14"/>
    </row>
    <row r="221" spans="1:11" x14ac:dyDescent="0.2">
      <c r="A221" s="79" t="s">
        <v>149</v>
      </c>
      <c r="B221" s="147" t="s">
        <v>35</v>
      </c>
      <c r="C221" s="80">
        <v>60</v>
      </c>
      <c r="D221" s="149">
        <f>SUM(E220)</f>
        <v>199</v>
      </c>
      <c r="E221" s="149">
        <f>+D221/C221</f>
        <v>3.3166666666666669</v>
      </c>
      <c r="F221" s="122"/>
      <c r="G221" s="14"/>
    </row>
    <row r="222" spans="1:11" x14ac:dyDescent="0.2">
      <c r="A222" s="79" t="s">
        <v>150</v>
      </c>
      <c r="B222" s="80" t="s">
        <v>61</v>
      </c>
      <c r="C222" s="148">
        <f>+C220</f>
        <v>1</v>
      </c>
      <c r="D222" s="108">
        <v>152.9</v>
      </c>
      <c r="E222" s="82">
        <f>C222*D222</f>
        <v>152.9</v>
      </c>
      <c r="F222" s="122"/>
      <c r="G222" s="14"/>
    </row>
    <row r="223" spans="1:11" x14ac:dyDescent="0.2">
      <c r="A223" s="79" t="s">
        <v>151</v>
      </c>
      <c r="B223" s="147" t="s">
        <v>35</v>
      </c>
      <c r="C223" s="80">
        <v>1</v>
      </c>
      <c r="D223" s="149">
        <f>+E222</f>
        <v>152.9</v>
      </c>
      <c r="E223" s="149">
        <f>+D223/C223</f>
        <v>152.9</v>
      </c>
      <c r="F223" s="122"/>
      <c r="G223" s="14"/>
    </row>
    <row r="224" spans="1:11" x14ac:dyDescent="0.2">
      <c r="A224" s="98"/>
      <c r="B224" s="98"/>
      <c r="C224" s="98"/>
      <c r="D224" s="89" t="s">
        <v>47</v>
      </c>
      <c r="E224" s="90">
        <f>$B$43</f>
        <v>0.25</v>
      </c>
      <c r="F224" s="119">
        <f>(E221+E223)*E224</f>
        <v>39.054166666666667</v>
      </c>
      <c r="G224" s="14"/>
    </row>
    <row r="225" spans="1:11" ht="11.25" customHeight="1" x14ac:dyDescent="0.2">
      <c r="G225" s="14"/>
    </row>
    <row r="226" spans="1:11" x14ac:dyDescent="0.2">
      <c r="A226" s="109" t="s">
        <v>152</v>
      </c>
      <c r="B226" s="110"/>
      <c r="C226" s="110"/>
      <c r="D226" s="46"/>
      <c r="E226" s="111"/>
      <c r="F226" s="119">
        <f>+F224</f>
        <v>39.054166666666667</v>
      </c>
    </row>
    <row r="227" spans="1:11" ht="11.25" customHeight="1" x14ac:dyDescent="0.2"/>
    <row r="228" spans="1:11" x14ac:dyDescent="0.2">
      <c r="A228" s="109" t="s">
        <v>153</v>
      </c>
      <c r="B228" s="116"/>
      <c r="C228" s="116"/>
      <c r="D228" s="117"/>
      <c r="E228" s="118"/>
      <c r="F228" s="106">
        <f>F91+F123+F202+F215+F226</f>
        <v>16254.598299781052</v>
      </c>
    </row>
    <row r="230" spans="1:11" x14ac:dyDescent="0.2">
      <c r="A230" s="17" t="s">
        <v>154</v>
      </c>
    </row>
    <row r="232" spans="1:11" x14ac:dyDescent="0.2">
      <c r="A232" s="71" t="s">
        <v>30</v>
      </c>
      <c r="B232" s="72" t="s">
        <v>3</v>
      </c>
      <c r="C232" s="72" t="s">
        <v>23</v>
      </c>
      <c r="D232" s="73" t="s">
        <v>31</v>
      </c>
      <c r="E232" s="73" t="s">
        <v>32</v>
      </c>
      <c r="F232" s="74" t="s">
        <v>33</v>
      </c>
    </row>
    <row r="233" spans="1:11" x14ac:dyDescent="0.2">
      <c r="A233" s="75" t="s">
        <v>155</v>
      </c>
      <c r="B233" s="76" t="s">
        <v>19</v>
      </c>
      <c r="C233" s="150">
        <f>'4.BDI'!C21</f>
        <v>0.33160000000000001</v>
      </c>
      <c r="D233" s="78">
        <f>+F228</f>
        <v>16254.598299781052</v>
      </c>
      <c r="E233" s="78">
        <f>C233*D233</f>
        <v>5390.0247962073972</v>
      </c>
    </row>
    <row r="234" spans="1:11" ht="11.25" customHeight="1" x14ac:dyDescent="0.2">
      <c r="F234" s="119">
        <f>+E233</f>
        <v>5390.0247962073972</v>
      </c>
      <c r="G234" s="151"/>
      <c r="H234" s="146"/>
      <c r="I234" s="146"/>
      <c r="J234" s="146"/>
    </row>
    <row r="236" spans="1:11" ht="11.25" customHeight="1" x14ac:dyDescent="0.2">
      <c r="A236" s="109" t="s">
        <v>156</v>
      </c>
      <c r="B236" s="116"/>
      <c r="C236" s="116"/>
      <c r="D236" s="117"/>
      <c r="E236" s="118"/>
      <c r="F236" s="106">
        <f>F234</f>
        <v>5390.0247962073972</v>
      </c>
    </row>
    <row r="237" spans="1:11" x14ac:dyDescent="0.2">
      <c r="A237" s="17"/>
      <c r="B237" s="17"/>
      <c r="C237" s="17"/>
      <c r="D237" s="40"/>
      <c r="E237" s="40"/>
      <c r="F237" s="85"/>
    </row>
    <row r="238" spans="1:11" ht="11.25" customHeight="1" x14ac:dyDescent="0.2">
      <c r="K238" s="20"/>
    </row>
    <row r="239" spans="1:11" x14ac:dyDescent="0.2">
      <c r="A239" s="109" t="s">
        <v>157</v>
      </c>
      <c r="B239" s="116"/>
      <c r="C239" s="116"/>
      <c r="D239" s="117"/>
      <c r="E239" s="118"/>
      <c r="F239" s="106">
        <f>F228+F236</f>
        <v>21644.623095988449</v>
      </c>
      <c r="H239" s="128"/>
      <c r="K239" s="20"/>
    </row>
    <row r="240" spans="1:11" ht="11.25" customHeight="1" x14ac:dyDescent="0.2">
      <c r="A240" s="152"/>
      <c r="B240" s="152"/>
      <c r="C240" s="152"/>
      <c r="D240" s="153"/>
      <c r="E240" s="153"/>
      <c r="F240" s="154"/>
      <c r="K240" s="20"/>
    </row>
    <row r="241" spans="1:5" ht="14.25" x14ac:dyDescent="0.2">
      <c r="A241" s="36"/>
      <c r="B241" s="36"/>
      <c r="C241" s="36"/>
      <c r="D241" s="37"/>
      <c r="E241" s="37"/>
    </row>
  </sheetData>
  <mergeCells count="7">
    <mergeCell ref="A32:D32"/>
    <mergeCell ref="A40:D40"/>
    <mergeCell ref="A2:F4"/>
    <mergeCell ref="A6:F7"/>
    <mergeCell ref="A9:F9"/>
    <mergeCell ref="A16:C16"/>
    <mergeCell ref="A31:E31"/>
  </mergeCells>
  <hyperlinks>
    <hyperlink ref="A129" location="AbaDeprec" display="3.1.1. Depreciação"/>
    <hyperlink ref="A145" location="AbaRemun" display="3.1.2. Remuneração do Capital"/>
  </hyperlinks>
  <pageMargins left="0.59027777777777801" right="0.59027777777777801" top="0.74791666666666701" bottom="0.74791666666666701" header="0.511811023622047" footer="0.31527777777777799"/>
  <pageSetup paperSize="9" scale="75" orientation="portrait" horizontalDpi="300" verticalDpi="300" r:id="rId1"/>
  <headerFooter>
    <oddFooter>&amp;R&amp;P de &amp;N</oddFooter>
  </headerFooter>
  <rowBreaks count="4" manualBreakCount="4">
    <brk id="58" max="16383" man="1"/>
    <brk id="84" max="16383" man="1"/>
    <brk id="144" max="16383" man="1"/>
    <brk id="203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55"/>
  <sheetViews>
    <sheetView view="pageBreakPreview" zoomScaleNormal="100" workbookViewId="0">
      <selection activeCell="G36" sqref="G36"/>
    </sheetView>
  </sheetViews>
  <sheetFormatPr defaultColWidth="9.140625" defaultRowHeight="12.75" customHeight="1" x14ac:dyDescent="0.2"/>
  <cols>
    <col min="1" max="1" width="44.5703125" style="14" customWidth="1"/>
    <col min="2" max="2" width="16" style="14" customWidth="1"/>
    <col min="3" max="3" width="11.85546875" style="14" customWidth="1"/>
    <col min="4" max="4" width="14.7109375" style="15" customWidth="1"/>
    <col min="5" max="5" width="15.42578125" style="15" customWidth="1"/>
    <col min="6" max="6" width="13.28515625" style="15" customWidth="1"/>
    <col min="7" max="7" width="28.140625" style="15" customWidth="1"/>
    <col min="8" max="8" width="9.140625" style="14"/>
    <col min="9" max="9" width="14.5703125" style="14" customWidth="1"/>
    <col min="10" max="10" width="13.42578125" style="14" customWidth="1"/>
    <col min="11" max="11" width="9.42578125" style="14" customWidth="1"/>
  </cols>
  <sheetData>
    <row r="1" spans="1:11" x14ac:dyDescent="0.2">
      <c r="B1" s="16"/>
      <c r="C1" s="16"/>
    </row>
    <row r="2" spans="1:11" ht="12.75" customHeight="1" x14ac:dyDescent="0.2">
      <c r="A2" s="291" t="s">
        <v>15</v>
      </c>
      <c r="B2" s="291"/>
      <c r="C2" s="291"/>
      <c r="D2" s="291"/>
      <c r="E2" s="291"/>
      <c r="F2" s="291"/>
    </row>
    <row r="3" spans="1:11" ht="12.75" customHeight="1" x14ac:dyDescent="0.2">
      <c r="A3" s="291"/>
      <c r="B3" s="291"/>
      <c r="C3" s="291"/>
      <c r="D3" s="291"/>
      <c r="E3" s="291"/>
      <c r="F3" s="291"/>
    </row>
    <row r="4" spans="1:11" ht="12.75" customHeight="1" x14ac:dyDescent="0.2">
      <c r="A4" s="291"/>
      <c r="B4" s="291"/>
      <c r="C4" s="291"/>
      <c r="D4" s="291"/>
      <c r="E4" s="291"/>
      <c r="F4" s="291"/>
    </row>
    <row r="5" spans="1:11" x14ac:dyDescent="0.2">
      <c r="B5" s="16"/>
      <c r="C5" s="16"/>
    </row>
    <row r="6" spans="1:11" ht="19.5" customHeight="1" x14ac:dyDescent="0.2">
      <c r="A6" s="292" t="s">
        <v>161</v>
      </c>
      <c r="B6" s="292"/>
      <c r="C6" s="292"/>
      <c r="D6" s="292"/>
      <c r="E6" s="292"/>
      <c r="F6" s="292"/>
    </row>
    <row r="7" spans="1:11" ht="27" customHeight="1" x14ac:dyDescent="0.2">
      <c r="A7" s="292"/>
      <c r="B7" s="292"/>
      <c r="C7" s="292"/>
      <c r="D7" s="292"/>
      <c r="E7" s="292"/>
      <c r="F7" s="292"/>
    </row>
    <row r="8" spans="1:11" x14ac:dyDescent="0.2">
      <c r="A8" s="18"/>
      <c r="B8" s="16"/>
      <c r="C8" s="16"/>
      <c r="F8" s="19"/>
    </row>
    <row r="9" spans="1:11" ht="15" customHeight="1" x14ac:dyDescent="0.2">
      <c r="A9" s="293" t="s">
        <v>16</v>
      </c>
      <c r="B9" s="293"/>
      <c r="C9" s="293"/>
      <c r="D9" s="293"/>
      <c r="E9" s="293"/>
      <c r="F9" s="293"/>
      <c r="H9" s="20"/>
      <c r="I9" s="20"/>
      <c r="J9" s="20"/>
      <c r="K9" s="20"/>
    </row>
    <row r="10" spans="1:11" ht="15" customHeight="1" x14ac:dyDescent="0.2">
      <c r="A10" s="21" t="s">
        <v>17</v>
      </c>
      <c r="B10" s="22"/>
      <c r="C10" s="22"/>
      <c r="D10" s="23"/>
      <c r="E10" s="24" t="s">
        <v>18</v>
      </c>
      <c r="F10" s="25" t="s">
        <v>19</v>
      </c>
      <c r="H10" s="20"/>
      <c r="I10" s="20"/>
      <c r="J10" s="20"/>
      <c r="K10" s="20"/>
    </row>
    <row r="11" spans="1:11" ht="15" customHeight="1" x14ac:dyDescent="0.2">
      <c r="A11" s="26" t="str">
        <f>A46</f>
        <v>1. Mão-de-obra</v>
      </c>
      <c r="B11" s="27"/>
      <c r="C11" s="28"/>
      <c r="D11" s="28"/>
      <c r="E11" s="29">
        <f>+F92</f>
        <v>3138.3449823979272</v>
      </c>
      <c r="F11" s="30">
        <f t="shared" ref="F11:F28" si="0">IFERROR(E11/$E$29,0)</f>
        <v>0.12285374322244157</v>
      </c>
      <c r="H11" s="20"/>
      <c r="I11" s="20"/>
      <c r="J11" s="20"/>
      <c r="K11" s="20"/>
    </row>
    <row r="12" spans="1:11" ht="15" customHeight="1" x14ac:dyDescent="0.2">
      <c r="A12" s="31" t="str">
        <f>A48</f>
        <v>1.1. Coletor Turno Dia</v>
      </c>
      <c r="B12" s="32"/>
      <c r="C12" s="33"/>
      <c r="D12" s="33"/>
      <c r="E12" s="34">
        <f>F59</f>
        <v>1484.4464250967792</v>
      </c>
      <c r="F12" s="35">
        <f t="shared" si="0"/>
        <v>5.8110182583231196E-2</v>
      </c>
      <c r="H12" s="20"/>
      <c r="I12" s="20"/>
      <c r="J12" s="20"/>
      <c r="K12" s="20"/>
    </row>
    <row r="13" spans="1:11" ht="16.5" customHeight="1" x14ac:dyDescent="0.2">
      <c r="A13" s="31" t="str">
        <f>A62</f>
        <v>1.2. Motorista Turno do Dia</v>
      </c>
      <c r="B13" s="32"/>
      <c r="C13" s="33"/>
      <c r="D13" s="33"/>
      <c r="E13" s="34">
        <f>F75</f>
        <v>865.52163422422495</v>
      </c>
      <c r="F13" s="35">
        <f t="shared" si="0"/>
        <v>3.3881734863706728E-2</v>
      </c>
      <c r="H13" s="20"/>
      <c r="I13" s="20"/>
      <c r="J13" s="20"/>
      <c r="K13" s="36"/>
    </row>
    <row r="14" spans="1:11" ht="17.25" customHeight="1" x14ac:dyDescent="0.2">
      <c r="A14" s="31" t="str">
        <f>A78</f>
        <v>1.3. Vale Transporte</v>
      </c>
      <c r="B14" s="32"/>
      <c r="C14" s="33"/>
      <c r="D14" s="33"/>
      <c r="E14" s="34">
        <f>F84</f>
        <v>569.07692307692321</v>
      </c>
      <c r="F14" s="35">
        <f t="shared" si="0"/>
        <v>2.2277101648681907E-2</v>
      </c>
      <c r="G14" s="37"/>
      <c r="H14" s="36"/>
      <c r="I14" s="36"/>
      <c r="J14" s="36"/>
      <c r="K14" s="20"/>
    </row>
    <row r="15" spans="1:11" ht="15.75" customHeight="1" x14ac:dyDescent="0.2">
      <c r="A15" s="31" t="str">
        <f>A86</f>
        <v>1.4. Auxílio Alimentação (mensal)</v>
      </c>
      <c r="B15" s="32"/>
      <c r="C15" s="33"/>
      <c r="D15" s="33"/>
      <c r="E15" s="34">
        <f>F90</f>
        <v>219.3</v>
      </c>
      <c r="F15" s="35">
        <f t="shared" si="0"/>
        <v>8.5847241268217408E-3</v>
      </c>
      <c r="H15" s="20"/>
      <c r="I15" s="20"/>
      <c r="J15" s="20"/>
      <c r="K15" s="20"/>
    </row>
    <row r="16" spans="1:11" ht="15.75" customHeight="1" x14ac:dyDescent="0.2">
      <c r="A16" s="294" t="str">
        <f>A94</f>
        <v>2. Uniformes e Equipamentos de Proteção Individual</v>
      </c>
      <c r="B16" s="294"/>
      <c r="C16" s="294"/>
      <c r="D16" s="28"/>
      <c r="E16" s="29">
        <f>+F124</f>
        <v>37.544216666666671</v>
      </c>
      <c r="F16" s="30">
        <f t="shared" si="0"/>
        <v>1.4697069887868502E-3</v>
      </c>
      <c r="H16" s="20"/>
      <c r="I16" s="20"/>
      <c r="J16" s="20"/>
      <c r="K16" s="17"/>
    </row>
    <row r="17" spans="1:11" ht="15.75" customHeight="1" x14ac:dyDescent="0.2">
      <c r="A17" s="38" t="str">
        <f>A126</f>
        <v>3. Veículos e Equipamentos</v>
      </c>
      <c r="B17" s="39"/>
      <c r="C17" s="28"/>
      <c r="D17" s="28"/>
      <c r="E17" s="29">
        <f>+F203</f>
        <v>6352.6289669262269</v>
      </c>
      <c r="F17" s="30">
        <f t="shared" si="0"/>
        <v>0.2486801968131247</v>
      </c>
      <c r="G17" s="40"/>
      <c r="H17" s="17"/>
      <c r="I17" s="17"/>
      <c r="J17" s="17"/>
      <c r="K17" s="20"/>
    </row>
    <row r="18" spans="1:11" ht="15.75" customHeight="1" x14ac:dyDescent="0.2">
      <c r="A18" s="41" t="str">
        <f>A128</f>
        <v>3.1. Veículo Coletor Compactador 19 m³</v>
      </c>
      <c r="B18" s="42"/>
      <c r="C18" s="33"/>
      <c r="D18" s="33"/>
      <c r="E18" s="34">
        <f>SUM(E19:E24)</f>
        <v>6352.6289669262269</v>
      </c>
      <c r="F18" s="35">
        <f t="shared" si="0"/>
        <v>0.2486801968131247</v>
      </c>
      <c r="H18" s="20"/>
      <c r="I18" s="20"/>
      <c r="J18" s="20"/>
      <c r="K18" s="20"/>
    </row>
    <row r="19" spans="1:11" ht="15.75" customHeight="1" x14ac:dyDescent="0.2">
      <c r="A19" s="41" t="str">
        <f>A130</f>
        <v>3.1.1. Depreciação</v>
      </c>
      <c r="B19" s="42"/>
      <c r="C19" s="33"/>
      <c r="D19" s="33"/>
      <c r="E19" s="34">
        <f>F144</f>
        <v>1048.327728</v>
      </c>
      <c r="F19" s="35">
        <f t="shared" si="0"/>
        <v>4.1037867484622979E-2</v>
      </c>
      <c r="H19" s="20"/>
      <c r="I19" s="20"/>
      <c r="J19" s="20"/>
      <c r="K19" s="20"/>
    </row>
    <row r="20" spans="1:11" ht="15.75" customHeight="1" x14ac:dyDescent="0.2">
      <c r="A20" s="41" t="str">
        <f>A146</f>
        <v>3.1.2. Remuneração do Capital</v>
      </c>
      <c r="B20" s="42"/>
      <c r="C20" s="33"/>
      <c r="D20" s="33"/>
      <c r="E20" s="34">
        <f>F160</f>
        <v>1134.16709182</v>
      </c>
      <c r="F20" s="35">
        <f t="shared" si="0"/>
        <v>4.4398137697192898E-2</v>
      </c>
      <c r="H20" s="20"/>
      <c r="I20" s="20"/>
      <c r="J20" s="20"/>
      <c r="K20" s="20"/>
    </row>
    <row r="21" spans="1:11" ht="15.75" customHeight="1" x14ac:dyDescent="0.2">
      <c r="A21" s="41" t="str">
        <f>A162</f>
        <v>3.1.3. Impostos e Seguros</v>
      </c>
      <c r="B21" s="42"/>
      <c r="C21" s="33"/>
      <c r="D21" s="33"/>
      <c r="E21" s="34">
        <f>F168</f>
        <v>91.701000000000008</v>
      </c>
      <c r="F21" s="35">
        <f t="shared" si="0"/>
        <v>3.5897299915808503E-3</v>
      </c>
      <c r="H21" s="20"/>
      <c r="I21" s="20"/>
      <c r="J21" s="20"/>
      <c r="K21" s="20"/>
    </row>
    <row r="22" spans="1:11" ht="15.75" customHeight="1" x14ac:dyDescent="0.2">
      <c r="A22" s="41" t="str">
        <f>A170</f>
        <v>3.1.4. Consumos</v>
      </c>
      <c r="B22" s="42"/>
      <c r="C22" s="33"/>
      <c r="D22" s="33"/>
      <c r="E22" s="34">
        <f>F186</f>
        <v>2742.9365009523808</v>
      </c>
      <c r="F22" s="35">
        <f t="shared" si="0"/>
        <v>0.10737507140020934</v>
      </c>
      <c r="H22" s="20"/>
      <c r="I22" s="20"/>
      <c r="J22" s="20"/>
      <c r="K22" s="20"/>
    </row>
    <row r="23" spans="1:11" ht="15.75" customHeight="1" x14ac:dyDescent="0.2">
      <c r="A23" s="41" t="str">
        <f>A188</f>
        <v>3.1.5. Manutenção</v>
      </c>
      <c r="B23" s="42"/>
      <c r="C23" s="33"/>
      <c r="D23" s="33"/>
      <c r="E23" s="34">
        <f>F191</f>
        <v>847.18600000000004</v>
      </c>
      <c r="F23" s="35">
        <f t="shared" si="0"/>
        <v>3.3163967597380772E-2</v>
      </c>
      <c r="H23" s="20"/>
      <c r="I23" s="20"/>
      <c r="J23" s="20"/>
      <c r="K23" s="20"/>
    </row>
    <row r="24" spans="1:11" ht="15.75" customHeight="1" x14ac:dyDescent="0.2">
      <c r="A24" s="41" t="str">
        <f>A193</f>
        <v>3.1.6. Pneus</v>
      </c>
      <c r="B24" s="42"/>
      <c r="C24" s="33"/>
      <c r="D24" s="33"/>
      <c r="E24" s="34">
        <f>F200</f>
        <v>488.31064615384611</v>
      </c>
      <c r="F24" s="35">
        <f t="shared" si="0"/>
        <v>1.9115422642137878E-2</v>
      </c>
      <c r="H24" s="20"/>
      <c r="I24" s="20"/>
      <c r="J24" s="20"/>
      <c r="K24" s="17"/>
    </row>
    <row r="25" spans="1:11" ht="15.75" customHeight="1" x14ac:dyDescent="0.2">
      <c r="A25" s="38" t="str">
        <f>A205</f>
        <v>4. Ferramentas e Materiais de Consumo</v>
      </c>
      <c r="B25" s="39"/>
      <c r="C25" s="28"/>
      <c r="D25" s="28"/>
      <c r="E25" s="29">
        <f>F216</f>
        <v>113.61999999999998</v>
      </c>
      <c r="F25" s="30">
        <f t="shared" si="0"/>
        <v>4.4477717979456727E-3</v>
      </c>
      <c r="G25" s="40"/>
      <c r="H25" s="17"/>
      <c r="I25" s="17"/>
      <c r="J25" s="17"/>
      <c r="K25" s="17"/>
    </row>
    <row r="26" spans="1:11" ht="15.75" customHeight="1" x14ac:dyDescent="0.2">
      <c r="A26" s="38" t="str">
        <f>A218</f>
        <v>5. Monitoramento da Frota</v>
      </c>
      <c r="B26" s="39"/>
      <c r="C26" s="28"/>
      <c r="D26" s="28"/>
      <c r="E26" s="29">
        <f>+F227</f>
        <v>23.432500000000001</v>
      </c>
      <c r="F26" s="30">
        <f t="shared" si="0"/>
        <v>9.1728932102941372E-4</v>
      </c>
      <c r="G26" s="40"/>
      <c r="H26" s="17"/>
      <c r="I26" s="17"/>
      <c r="J26" s="17"/>
      <c r="K26" s="20"/>
    </row>
    <row r="27" spans="1:11" ht="15.75" customHeight="1" x14ac:dyDescent="0.2">
      <c r="A27" s="38" t="str">
        <f>A229</f>
        <v>6. Tratamento e Destino Final de Resíduos Volumosos</v>
      </c>
      <c r="B27" s="39"/>
      <c r="C27" s="28"/>
      <c r="D27" s="28"/>
      <c r="E27" s="29">
        <f>F235</f>
        <v>9518.4</v>
      </c>
      <c r="F27" s="30">
        <f t="shared" si="0"/>
        <v>0.37260756100656656</v>
      </c>
      <c r="G27" s="40"/>
      <c r="H27" s="17"/>
      <c r="I27" s="17"/>
      <c r="J27" s="17"/>
      <c r="K27" s="20"/>
    </row>
    <row r="28" spans="1:11" ht="15.75" customHeight="1" x14ac:dyDescent="0.2">
      <c r="A28" s="38" t="str">
        <f>A240</f>
        <v>7. Benefícios e Despesas Indiretas - BDI</v>
      </c>
      <c r="B28" s="39"/>
      <c r="C28" s="28"/>
      <c r="D28" s="28"/>
      <c r="E28" s="43">
        <f>F246</f>
        <v>6361.4046728425565</v>
      </c>
      <c r="F28" s="30">
        <f t="shared" si="0"/>
        <v>0.24902373085010512</v>
      </c>
      <c r="H28" s="20"/>
      <c r="I28" s="20"/>
      <c r="J28" s="20"/>
      <c r="K28" s="20"/>
    </row>
    <row r="29" spans="1:11" ht="15.75" customHeight="1" x14ac:dyDescent="0.2">
      <c r="A29" s="44" t="s">
        <v>20</v>
      </c>
      <c r="B29" s="45"/>
      <c r="C29" s="46"/>
      <c r="D29" s="46"/>
      <c r="E29" s="47">
        <f>E11+E16+E17+E25+E26+E28+E27</f>
        <v>25545.375338833379</v>
      </c>
      <c r="F29" s="48">
        <f>F11+F16+F17+F25+F26+F28+F27</f>
        <v>0.99999999999999989</v>
      </c>
      <c r="H29" s="20"/>
      <c r="I29" s="20"/>
      <c r="J29" s="20"/>
      <c r="K29" s="20"/>
    </row>
    <row r="30" spans="1:11" ht="15.75" customHeight="1" x14ac:dyDescent="0.2">
      <c r="H30" s="20"/>
      <c r="I30" s="20"/>
      <c r="J30" s="20"/>
      <c r="K30" s="20"/>
    </row>
    <row r="31" spans="1:11" ht="15.75" customHeight="1" x14ac:dyDescent="0.2">
      <c r="H31" s="20"/>
      <c r="I31" s="20"/>
      <c r="J31" s="20"/>
      <c r="K31" s="20"/>
    </row>
    <row r="32" spans="1:11" ht="15.75" customHeight="1" x14ac:dyDescent="0.2">
      <c r="A32" s="295" t="s">
        <v>21</v>
      </c>
      <c r="B32" s="295"/>
      <c r="C32" s="295"/>
      <c r="D32" s="295"/>
      <c r="E32" s="295"/>
      <c r="H32" s="20"/>
      <c r="I32" s="20"/>
      <c r="J32" s="20"/>
      <c r="K32" s="20"/>
    </row>
    <row r="33" spans="1:11" ht="15.75" customHeight="1" x14ac:dyDescent="0.2">
      <c r="A33" s="289" t="s">
        <v>22</v>
      </c>
      <c r="B33" s="289"/>
      <c r="C33" s="289"/>
      <c r="D33" s="289"/>
      <c r="E33" s="49" t="s">
        <v>23</v>
      </c>
      <c r="H33" s="20"/>
      <c r="I33" s="20"/>
      <c r="J33" s="20"/>
      <c r="K33" s="17"/>
    </row>
    <row r="34" spans="1:11" ht="15.75" customHeight="1" x14ac:dyDescent="0.2">
      <c r="A34" s="50" t="str">
        <f>A13</f>
        <v>1.2. Motorista Turno do Dia</v>
      </c>
      <c r="B34" s="22"/>
      <c r="C34" s="22"/>
      <c r="D34" s="51"/>
      <c r="E34" s="52">
        <v>1</v>
      </c>
      <c r="H34" s="20"/>
      <c r="I34" s="20"/>
      <c r="J34" s="20"/>
      <c r="K34" s="17"/>
    </row>
    <row r="35" spans="1:11" ht="15.75" customHeight="1" x14ac:dyDescent="0.2">
      <c r="A35" s="31" t="str">
        <f>A12</f>
        <v>1.1. Coletor Turno Dia</v>
      </c>
      <c r="B35" s="33"/>
      <c r="C35" s="33"/>
      <c r="D35" s="53"/>
      <c r="E35" s="54">
        <v>2</v>
      </c>
      <c r="G35" s="40"/>
      <c r="H35" s="17"/>
      <c r="I35" s="17"/>
      <c r="J35" s="17"/>
      <c r="K35" s="20"/>
    </row>
    <row r="36" spans="1:11" ht="15.75" customHeight="1" x14ac:dyDescent="0.2">
      <c r="A36" s="55" t="s">
        <v>24</v>
      </c>
      <c r="B36" s="56"/>
      <c r="C36" s="56"/>
      <c r="D36" s="57"/>
      <c r="E36" s="58">
        <f>SUM(E34:E35)</f>
        <v>3</v>
      </c>
      <c r="H36" s="20"/>
      <c r="I36" s="20"/>
      <c r="J36" s="20"/>
    </row>
    <row r="37" spans="1:11" ht="15.75" customHeight="1" x14ac:dyDescent="0.2">
      <c r="A37" s="55"/>
      <c r="B37" s="56"/>
      <c r="C37" s="56"/>
      <c r="D37" s="57"/>
      <c r="E37" s="58"/>
      <c r="H37" s="20"/>
      <c r="I37" s="20"/>
      <c r="J37" s="20"/>
    </row>
    <row r="38" spans="1:11" ht="15.75" customHeight="1" x14ac:dyDescent="0.2">
      <c r="A38" s="59" t="s">
        <v>25</v>
      </c>
      <c r="B38" s="60">
        <v>0.17</v>
      </c>
      <c r="C38" s="56"/>
      <c r="D38" s="57"/>
      <c r="E38" s="58"/>
      <c r="H38" s="20"/>
      <c r="I38" s="20"/>
      <c r="J38" s="20"/>
    </row>
    <row r="39" spans="1:11" ht="15.75" customHeight="1" x14ac:dyDescent="0.2">
      <c r="A39" s="55"/>
      <c r="B39" s="56"/>
      <c r="C39" s="56"/>
      <c r="D39" s="57"/>
      <c r="E39" s="58"/>
      <c r="H39" s="20"/>
      <c r="I39" s="20"/>
      <c r="J39" s="20"/>
    </row>
    <row r="40" spans="1:11" x14ac:dyDescent="0.2">
      <c r="A40" s="62"/>
      <c r="B40" s="63"/>
      <c r="C40" s="15"/>
      <c r="E40" s="19"/>
      <c r="K40" s="20"/>
    </row>
    <row r="41" spans="1:11" x14ac:dyDescent="0.2">
      <c r="A41" s="290" t="s">
        <v>26</v>
      </c>
      <c r="B41" s="290"/>
      <c r="C41" s="290"/>
      <c r="D41" s="290"/>
      <c r="E41" s="49" t="s">
        <v>23</v>
      </c>
      <c r="F41" s="14"/>
      <c r="K41" s="20"/>
    </row>
    <row r="42" spans="1:11" ht="15" customHeight="1" x14ac:dyDescent="0.2">
      <c r="A42" s="64" t="str">
        <f>+A128</f>
        <v>3.1. Veículo Coletor Compactador 19 m³</v>
      </c>
      <c r="B42" s="65"/>
      <c r="C42" s="65"/>
      <c r="D42" s="66"/>
      <c r="E42" s="67">
        <v>1</v>
      </c>
      <c r="F42" s="14"/>
      <c r="H42" s="20"/>
      <c r="I42" s="20"/>
      <c r="J42" s="20"/>
      <c r="K42" s="20"/>
    </row>
    <row r="43" spans="1:11" ht="15" customHeight="1" x14ac:dyDescent="0.2">
      <c r="A43" s="15"/>
      <c r="B43" s="15"/>
      <c r="C43" s="15"/>
      <c r="D43" s="14"/>
      <c r="E43" s="68"/>
      <c r="F43" s="14"/>
      <c r="H43" s="20"/>
      <c r="I43" s="20"/>
      <c r="J43" s="20"/>
      <c r="K43" s="20"/>
    </row>
    <row r="44" spans="1:11" ht="15" customHeight="1" x14ac:dyDescent="0.2">
      <c r="A44" s="59" t="s">
        <v>27</v>
      </c>
      <c r="B44" s="60">
        <v>0.15</v>
      </c>
      <c r="C44" s="40"/>
      <c r="D44" s="17"/>
      <c r="E44" s="69"/>
      <c r="F44" s="17"/>
      <c r="H44" s="20"/>
      <c r="I44" s="20"/>
      <c r="J44" s="20"/>
      <c r="K44" s="20"/>
    </row>
    <row r="45" spans="1:11" ht="15" customHeight="1" x14ac:dyDescent="0.2">
      <c r="A45" s="15"/>
      <c r="B45" s="15"/>
      <c r="C45" s="15"/>
      <c r="D45" s="14"/>
      <c r="E45" s="70"/>
      <c r="F45" s="14"/>
      <c r="H45" s="20"/>
      <c r="I45" s="20"/>
      <c r="J45" s="20"/>
      <c r="K45" s="20"/>
    </row>
    <row r="46" spans="1:11" ht="15" customHeight="1" x14ac:dyDescent="0.2">
      <c r="A46" s="17" t="s">
        <v>28</v>
      </c>
      <c r="H46" s="20"/>
      <c r="I46" s="20"/>
      <c r="J46" s="20"/>
      <c r="K46" s="20"/>
    </row>
    <row r="47" spans="1:11" ht="15" customHeight="1" x14ac:dyDescent="0.2">
      <c r="H47" s="20"/>
      <c r="I47" s="20"/>
      <c r="J47" s="20"/>
      <c r="K47" s="20"/>
    </row>
    <row r="48" spans="1:11" ht="15" customHeight="1" x14ac:dyDescent="0.2">
      <c r="A48" s="14" t="s">
        <v>29</v>
      </c>
      <c r="H48" s="20"/>
      <c r="I48" s="20"/>
      <c r="J48" s="20"/>
      <c r="K48" s="20"/>
    </row>
    <row r="49" spans="1:11" ht="15" customHeight="1" x14ac:dyDescent="0.2">
      <c r="A49" s="71" t="s">
        <v>30</v>
      </c>
      <c r="B49" s="72" t="s">
        <v>3</v>
      </c>
      <c r="C49" s="72" t="s">
        <v>23</v>
      </c>
      <c r="D49" s="73" t="s">
        <v>31</v>
      </c>
      <c r="E49" s="73" t="s">
        <v>32</v>
      </c>
      <c r="F49" s="74" t="s">
        <v>33</v>
      </c>
      <c r="H49" s="20"/>
      <c r="I49" s="20"/>
      <c r="J49" s="20"/>
      <c r="K49" s="20"/>
    </row>
    <row r="50" spans="1:11" ht="15" customHeight="1" x14ac:dyDescent="0.2">
      <c r="A50" s="75" t="s">
        <v>34</v>
      </c>
      <c r="B50" s="76" t="s">
        <v>35</v>
      </c>
      <c r="C50" s="76">
        <v>1</v>
      </c>
      <c r="D50" s="77">
        <v>1730</v>
      </c>
      <c r="E50" s="78">
        <f>C50*D50</f>
        <v>1730</v>
      </c>
      <c r="H50" s="20"/>
      <c r="I50" s="20"/>
      <c r="J50" s="20"/>
      <c r="K50" s="20"/>
    </row>
    <row r="51" spans="1:11" ht="15" customHeight="1" x14ac:dyDescent="0.2">
      <c r="A51" s="79" t="s">
        <v>36</v>
      </c>
      <c r="B51" s="80" t="s">
        <v>37</v>
      </c>
      <c r="C51" s="81">
        <v>8</v>
      </c>
      <c r="D51" s="82">
        <f>D50/220*2</f>
        <v>15.727272727272727</v>
      </c>
      <c r="E51" s="82">
        <f>C51*D51</f>
        <v>125.81818181818181</v>
      </c>
      <c r="H51" s="20"/>
      <c r="I51" s="20"/>
      <c r="J51" s="20"/>
      <c r="K51" s="17"/>
    </row>
    <row r="52" spans="1:11" x14ac:dyDescent="0.2">
      <c r="A52" s="79" t="s">
        <v>38</v>
      </c>
      <c r="B52" s="80" t="s">
        <v>37</v>
      </c>
      <c r="C52" s="81">
        <v>1.5</v>
      </c>
      <c r="D52" s="82">
        <f>D50/220*1.5</f>
        <v>11.795454545454545</v>
      </c>
      <c r="E52" s="82">
        <f>C52*D52</f>
        <v>17.693181818181817</v>
      </c>
      <c r="H52" s="20"/>
      <c r="I52" s="20"/>
      <c r="J52" s="20"/>
      <c r="K52" s="20"/>
    </row>
    <row r="53" spans="1:11" ht="15.75" customHeight="1" x14ac:dyDescent="0.2">
      <c r="A53" s="79" t="s">
        <v>39</v>
      </c>
      <c r="B53" s="80" t="s">
        <v>40</v>
      </c>
      <c r="D53" s="82">
        <f>63/302*(SUM(E51:E52))</f>
        <v>29.937801023479832</v>
      </c>
      <c r="E53" s="82">
        <f>D53</f>
        <v>29.937801023479832</v>
      </c>
      <c r="G53" s="40"/>
      <c r="H53" s="17"/>
      <c r="I53" s="17"/>
      <c r="J53" s="17"/>
    </row>
    <row r="54" spans="1:11" ht="15.75" customHeight="1" x14ac:dyDescent="0.2">
      <c r="A54" s="79" t="s">
        <v>41</v>
      </c>
      <c r="B54" s="80" t="s">
        <v>19</v>
      </c>
      <c r="C54" s="80">
        <v>40</v>
      </c>
      <c r="D54" s="82">
        <v>1518</v>
      </c>
      <c r="E54" s="82">
        <f>C54*D54/100</f>
        <v>607.20000000000005</v>
      </c>
      <c r="H54" s="20"/>
      <c r="I54" s="20"/>
      <c r="J54" s="20"/>
    </row>
    <row r="55" spans="1:11" ht="12.75" customHeight="1" x14ac:dyDescent="0.2">
      <c r="A55" s="83" t="s">
        <v>42</v>
      </c>
      <c r="B55" s="84"/>
      <c r="C55" s="84"/>
      <c r="D55" s="85"/>
      <c r="E55" s="86">
        <f>SUM(E50:E54)</f>
        <v>2510.6491646598433</v>
      </c>
    </row>
    <row r="56" spans="1:11" ht="11.25" customHeight="1" x14ac:dyDescent="0.2">
      <c r="A56" s="79" t="s">
        <v>43</v>
      </c>
      <c r="B56" s="80" t="s">
        <v>19</v>
      </c>
      <c r="C56" s="87">
        <v>73.900000000000006</v>
      </c>
      <c r="D56" s="82">
        <f>E55</f>
        <v>2510.6491646598433</v>
      </c>
      <c r="E56" s="82">
        <f>D56*C56/100</f>
        <v>1855.3697326836243</v>
      </c>
    </row>
    <row r="57" spans="1:11" ht="13.5" customHeight="1" x14ac:dyDescent="0.2">
      <c r="A57" s="83" t="s">
        <v>44</v>
      </c>
      <c r="B57" s="84"/>
      <c r="C57" s="84"/>
      <c r="D57" s="85"/>
      <c r="E57" s="86">
        <f>E55+E56</f>
        <v>4366.0188973434679</v>
      </c>
    </row>
    <row r="58" spans="1:11" ht="13.5" customHeight="1" x14ac:dyDescent="0.2">
      <c r="A58" s="79" t="s">
        <v>45</v>
      </c>
      <c r="B58" s="80" t="s">
        <v>46</v>
      </c>
      <c r="C58" s="88">
        <f>E35</f>
        <v>2</v>
      </c>
      <c r="D58" s="82">
        <f>E57</f>
        <v>4366.0188973434679</v>
      </c>
      <c r="E58" s="82">
        <f>C58*D58</f>
        <v>8732.0377946869357</v>
      </c>
    </row>
    <row r="59" spans="1:11" ht="12.75" customHeight="1" x14ac:dyDescent="0.2">
      <c r="D59" s="89" t="s">
        <v>47</v>
      </c>
      <c r="E59" s="90">
        <f>B38</f>
        <v>0.17</v>
      </c>
      <c r="F59" s="91">
        <f>E58*E59</f>
        <v>1484.4464250967792</v>
      </c>
    </row>
    <row r="61" spans="1:11" x14ac:dyDescent="0.2">
      <c r="J61" s="92"/>
      <c r="K61" s="93"/>
    </row>
    <row r="62" spans="1:11" x14ac:dyDescent="0.2">
      <c r="A62" s="14" t="s">
        <v>48</v>
      </c>
    </row>
    <row r="63" spans="1:11" ht="12.75" customHeight="1" x14ac:dyDescent="0.2">
      <c r="A63" s="71" t="s">
        <v>30</v>
      </c>
      <c r="B63" s="72" t="s">
        <v>3</v>
      </c>
      <c r="C63" s="72" t="s">
        <v>23</v>
      </c>
      <c r="D63" s="73" t="s">
        <v>31</v>
      </c>
      <c r="E63" s="73" t="s">
        <v>32</v>
      </c>
      <c r="F63" s="74" t="s">
        <v>33</v>
      </c>
    </row>
    <row r="64" spans="1:11" x14ac:dyDescent="0.2">
      <c r="A64" s="75" t="s">
        <v>49</v>
      </c>
      <c r="B64" s="76" t="s">
        <v>35</v>
      </c>
      <c r="C64" s="76">
        <v>1</v>
      </c>
      <c r="D64" s="77">
        <v>2385</v>
      </c>
      <c r="E64" s="78">
        <f>C64*D64</f>
        <v>2385</v>
      </c>
      <c r="K64" s="17"/>
    </row>
    <row r="65" spans="1:11" x14ac:dyDescent="0.2">
      <c r="A65" s="75" t="s">
        <v>50</v>
      </c>
      <c r="B65" s="76" t="s">
        <v>35</v>
      </c>
      <c r="C65" s="76">
        <v>1</v>
      </c>
      <c r="D65" s="77">
        <v>1518</v>
      </c>
      <c r="E65" s="78"/>
    </row>
    <row r="66" spans="1:11" x14ac:dyDescent="0.2">
      <c r="A66" s="79" t="s">
        <v>36</v>
      </c>
      <c r="B66" s="80" t="s">
        <v>37</v>
      </c>
      <c r="C66" s="81">
        <v>8</v>
      </c>
      <c r="D66" s="82">
        <f>D64/220*2</f>
        <v>21.681818181818183</v>
      </c>
      <c r="E66" s="82">
        <f>C66*D66</f>
        <v>173.45454545454547</v>
      </c>
      <c r="K66" s="17"/>
    </row>
    <row r="67" spans="1:11" x14ac:dyDescent="0.2">
      <c r="A67" s="79" t="s">
        <v>38</v>
      </c>
      <c r="B67" s="80" t="s">
        <v>37</v>
      </c>
      <c r="C67" s="81">
        <v>1.5</v>
      </c>
      <c r="D67" s="82">
        <f>D64/220*1.5</f>
        <v>16.261363636363637</v>
      </c>
      <c r="E67" s="82">
        <f>C67*D67</f>
        <v>24.392045454545453</v>
      </c>
    </row>
    <row r="68" spans="1:11" x14ac:dyDescent="0.2">
      <c r="A68" s="79" t="s">
        <v>39</v>
      </c>
      <c r="B68" s="80" t="s">
        <v>40</v>
      </c>
      <c r="D68" s="82">
        <f>63/302*(SUM(E66:E67))</f>
        <v>41.272633202889836</v>
      </c>
      <c r="E68" s="82">
        <f>D68</f>
        <v>41.272633202889836</v>
      </c>
    </row>
    <row r="69" spans="1:11" x14ac:dyDescent="0.2">
      <c r="A69" s="79" t="s">
        <v>51</v>
      </c>
      <c r="B69" s="80"/>
      <c r="C69" s="94">
        <v>2</v>
      </c>
      <c r="D69" s="82"/>
      <c r="E69" s="82"/>
    </row>
    <row r="70" spans="1:11" ht="11.25" customHeight="1" x14ac:dyDescent="0.2">
      <c r="A70" s="79" t="s">
        <v>41</v>
      </c>
      <c r="B70" s="80" t="s">
        <v>19</v>
      </c>
      <c r="C70" s="95">
        <v>20</v>
      </c>
      <c r="D70" s="82">
        <v>1518</v>
      </c>
      <c r="E70" s="82">
        <f>C70*D70/100</f>
        <v>303.60000000000002</v>
      </c>
    </row>
    <row r="71" spans="1:11" x14ac:dyDescent="0.2">
      <c r="A71" s="96" t="s">
        <v>42</v>
      </c>
      <c r="B71" s="84"/>
      <c r="C71" s="84"/>
      <c r="D71" s="85"/>
      <c r="E71" s="97">
        <f>SUM(E64:E70)</f>
        <v>2927.7192241119806</v>
      </c>
      <c r="F71" s="40"/>
    </row>
    <row r="72" spans="1:11" ht="12.75" customHeight="1" x14ac:dyDescent="0.2">
      <c r="A72" s="79" t="s">
        <v>43</v>
      </c>
      <c r="B72" s="80" t="s">
        <v>19</v>
      </c>
      <c r="C72" s="87">
        <v>73.900000000000006</v>
      </c>
      <c r="D72" s="82">
        <f>E71</f>
        <v>2927.7192241119806</v>
      </c>
      <c r="E72" s="82">
        <f>D72*C72/100</f>
        <v>2163.5845066187539</v>
      </c>
      <c r="H72" s="98"/>
      <c r="I72" s="98"/>
      <c r="J72" s="98"/>
    </row>
    <row r="73" spans="1:11" x14ac:dyDescent="0.2">
      <c r="A73" s="96" t="s">
        <v>52</v>
      </c>
      <c r="B73" s="99"/>
      <c r="C73" s="99"/>
      <c r="D73" s="100"/>
      <c r="E73" s="97">
        <f>E71+E72</f>
        <v>5091.303730730735</v>
      </c>
      <c r="F73" s="40"/>
    </row>
    <row r="74" spans="1:11" x14ac:dyDescent="0.2">
      <c r="A74" s="79" t="s">
        <v>45</v>
      </c>
      <c r="B74" s="80" t="s">
        <v>46</v>
      </c>
      <c r="C74" s="88">
        <f>E34</f>
        <v>1</v>
      </c>
      <c r="D74" s="82">
        <f>E73</f>
        <v>5091.303730730735</v>
      </c>
      <c r="E74" s="82">
        <f>C74*D74</f>
        <v>5091.303730730735</v>
      </c>
    </row>
    <row r="75" spans="1:11" x14ac:dyDescent="0.2">
      <c r="D75" s="89" t="s">
        <v>47</v>
      </c>
      <c r="E75" s="90">
        <f>B38</f>
        <v>0.17</v>
      </c>
      <c r="F75" s="91">
        <f>E74*E75</f>
        <v>865.52163422422495</v>
      </c>
    </row>
    <row r="78" spans="1:11" ht="12.75" customHeight="1" x14ac:dyDescent="0.2">
      <c r="A78" s="14" t="s">
        <v>53</v>
      </c>
      <c r="B78" s="101"/>
      <c r="D78" s="14"/>
      <c r="E78" s="14"/>
    </row>
    <row r="79" spans="1:11" x14ac:dyDescent="0.2">
      <c r="A79" s="71" t="s">
        <v>30</v>
      </c>
      <c r="B79" s="72" t="s">
        <v>3</v>
      </c>
      <c r="C79" s="72" t="s">
        <v>23</v>
      </c>
      <c r="D79" s="73" t="s">
        <v>31</v>
      </c>
      <c r="E79" s="73" t="s">
        <v>32</v>
      </c>
      <c r="F79" s="74" t="s">
        <v>33</v>
      </c>
    </row>
    <row r="80" spans="1:11" x14ac:dyDescent="0.2">
      <c r="A80" s="79" t="s">
        <v>54</v>
      </c>
      <c r="B80" s="80" t="s">
        <v>40</v>
      </c>
      <c r="C80" s="102">
        <v>1</v>
      </c>
      <c r="D80" s="103">
        <v>6.2</v>
      </c>
      <c r="E80" s="82"/>
    </row>
    <row r="81" spans="1:10" x14ac:dyDescent="0.2">
      <c r="A81" s="79" t="s">
        <v>55</v>
      </c>
      <c r="B81" s="80" t="s">
        <v>56</v>
      </c>
      <c r="C81" s="104">
        <v>24</v>
      </c>
      <c r="D81" s="82"/>
      <c r="E81" s="82"/>
      <c r="G81" s="40"/>
      <c r="H81" s="17"/>
      <c r="I81" s="17"/>
      <c r="J81" s="17"/>
    </row>
    <row r="82" spans="1:10" x14ac:dyDescent="0.2">
      <c r="A82" s="79" t="s">
        <v>57</v>
      </c>
      <c r="B82" s="80" t="s">
        <v>58</v>
      </c>
      <c r="C82" s="105">
        <f>$C$81*2*C58</f>
        <v>96</v>
      </c>
      <c r="D82" s="78">
        <f>IFERROR((($C$81*2*$D$80)-(E50*0.06*C81/26))/($C$81*2),"-")</f>
        <v>4.2038461538461549</v>
      </c>
      <c r="E82" s="82">
        <f>IFERROR(C82*D82,"-")</f>
        <v>403.5692307692309</v>
      </c>
    </row>
    <row r="83" spans="1:10" x14ac:dyDescent="0.2">
      <c r="A83" s="75" t="s">
        <v>59</v>
      </c>
      <c r="B83" s="76" t="s">
        <v>58</v>
      </c>
      <c r="C83" s="105">
        <f>$C$81*2*C74</f>
        <v>48</v>
      </c>
      <c r="D83" s="78">
        <f>IFERROR((($C$81*2*$D$80)-(E64*0.06*C81/26))/($C$81*2),"-")</f>
        <v>3.4480769230769237</v>
      </c>
      <c r="E83" s="78">
        <f>IFERROR(C83*D83,"-")</f>
        <v>165.50769230769234</v>
      </c>
      <c r="G83" s="40"/>
      <c r="H83" s="17"/>
      <c r="I83" s="17"/>
      <c r="J83" s="17"/>
    </row>
    <row r="84" spans="1:10" x14ac:dyDescent="0.2">
      <c r="F84" s="106">
        <f>SUM(E82:E83)</f>
        <v>569.07692307692321</v>
      </c>
    </row>
    <row r="86" spans="1:10" x14ac:dyDescent="0.2">
      <c r="A86" s="14" t="s">
        <v>60</v>
      </c>
      <c r="F86" s="40"/>
      <c r="G86" s="14"/>
    </row>
    <row r="87" spans="1:10" x14ac:dyDescent="0.2">
      <c r="A87" s="71" t="s">
        <v>30</v>
      </c>
      <c r="B87" s="72" t="s">
        <v>3</v>
      </c>
      <c r="C87" s="72" t="s">
        <v>23</v>
      </c>
      <c r="D87" s="73" t="s">
        <v>31</v>
      </c>
      <c r="E87" s="73" t="s">
        <v>32</v>
      </c>
      <c r="F87" s="74" t="s">
        <v>33</v>
      </c>
      <c r="G87" s="14"/>
    </row>
    <row r="88" spans="1:10" ht="11.25" customHeight="1" x14ac:dyDescent="0.2">
      <c r="A88" s="79" t="str">
        <f>+A83</f>
        <v>Motorista</v>
      </c>
      <c r="B88" s="80" t="s">
        <v>61</v>
      </c>
      <c r="C88" s="107">
        <f>E34</f>
        <v>1</v>
      </c>
      <c r="D88" s="108">
        <v>430</v>
      </c>
      <c r="E88" s="90">
        <f>C88*D88</f>
        <v>430</v>
      </c>
      <c r="F88" s="40"/>
      <c r="G88" s="14"/>
    </row>
    <row r="89" spans="1:10" x14ac:dyDescent="0.2">
      <c r="A89" s="79">
        <f>+A84</f>
        <v>0</v>
      </c>
      <c r="B89" s="80" t="s">
        <v>61</v>
      </c>
      <c r="C89" s="107">
        <f>E35</f>
        <v>2</v>
      </c>
      <c r="D89" s="108">
        <v>430</v>
      </c>
      <c r="E89" s="90">
        <f>C89*D89</f>
        <v>860</v>
      </c>
      <c r="F89" s="40"/>
      <c r="G89" s="14"/>
    </row>
    <row r="90" spans="1:10" x14ac:dyDescent="0.2">
      <c r="D90" s="89" t="s">
        <v>47</v>
      </c>
      <c r="E90" s="90">
        <f>B38</f>
        <v>0.17</v>
      </c>
      <c r="F90" s="106">
        <f>SUM(E88:E89)*E90</f>
        <v>219.3</v>
      </c>
      <c r="G90" s="14"/>
    </row>
    <row r="91" spans="1:10" x14ac:dyDescent="0.2">
      <c r="G91" s="14"/>
    </row>
    <row r="92" spans="1:10" x14ac:dyDescent="0.2">
      <c r="A92" s="109" t="s">
        <v>62</v>
      </c>
      <c r="B92" s="110"/>
      <c r="C92" s="110"/>
      <c r="D92" s="46"/>
      <c r="E92" s="111"/>
      <c r="F92" s="106">
        <f>F90+F84+F75+F59</f>
        <v>3138.3449823979272</v>
      </c>
      <c r="G92" s="14"/>
    </row>
    <row r="93" spans="1:10" x14ac:dyDescent="0.2">
      <c r="G93" s="14"/>
    </row>
    <row r="94" spans="1:10" x14ac:dyDescent="0.2">
      <c r="A94" s="17" t="s">
        <v>63</v>
      </c>
      <c r="G94" s="14"/>
    </row>
    <row r="95" spans="1:10" x14ac:dyDescent="0.2">
      <c r="G95" s="14"/>
    </row>
    <row r="96" spans="1:10" x14ac:dyDescent="0.2">
      <c r="A96" s="14" t="s">
        <v>64</v>
      </c>
      <c r="G96" s="14"/>
    </row>
    <row r="97" spans="1:11" x14ac:dyDescent="0.2">
      <c r="G97" s="14"/>
    </row>
    <row r="98" spans="1:11" ht="24" x14ac:dyDescent="0.2">
      <c r="A98" s="71" t="s">
        <v>30</v>
      </c>
      <c r="B98" s="72" t="s">
        <v>3</v>
      </c>
      <c r="C98" s="112" t="s">
        <v>65</v>
      </c>
      <c r="D98" s="73" t="s">
        <v>31</v>
      </c>
      <c r="E98" s="73" t="s">
        <v>32</v>
      </c>
      <c r="F98" s="74" t="s">
        <v>33</v>
      </c>
      <c r="G98" s="14"/>
      <c r="K98" s="61"/>
    </row>
    <row r="99" spans="1:11" x14ac:dyDescent="0.2">
      <c r="A99" s="75" t="s">
        <v>66</v>
      </c>
      <c r="B99" s="76" t="s">
        <v>61</v>
      </c>
      <c r="C99" s="113">
        <v>12</v>
      </c>
      <c r="D99" s="77">
        <v>89</v>
      </c>
      <c r="E99" s="78">
        <f t="shared" ref="E99:E107" si="1">IFERROR(D99/C99,0)</f>
        <v>7.416666666666667</v>
      </c>
      <c r="G99" s="14"/>
    </row>
    <row r="100" spans="1:11" x14ac:dyDescent="0.2">
      <c r="A100" s="79" t="s">
        <v>67</v>
      </c>
      <c r="B100" s="80" t="s">
        <v>61</v>
      </c>
      <c r="C100" s="113">
        <v>6</v>
      </c>
      <c r="D100" s="77">
        <v>72.8</v>
      </c>
      <c r="E100" s="78">
        <f t="shared" si="1"/>
        <v>12.133333333333333</v>
      </c>
      <c r="G100" s="14"/>
    </row>
    <row r="101" spans="1:11" x14ac:dyDescent="0.2">
      <c r="A101" s="79" t="s">
        <v>68</v>
      </c>
      <c r="B101" s="80" t="s">
        <v>61</v>
      </c>
      <c r="C101" s="113">
        <v>6</v>
      </c>
      <c r="D101" s="77">
        <v>47.98</v>
      </c>
      <c r="E101" s="78">
        <f t="shared" si="1"/>
        <v>7.9966666666666661</v>
      </c>
      <c r="G101" s="14"/>
    </row>
    <row r="102" spans="1:11" x14ac:dyDescent="0.2">
      <c r="A102" s="79" t="s">
        <v>69</v>
      </c>
      <c r="B102" s="80" t="s">
        <v>61</v>
      </c>
      <c r="C102" s="113">
        <v>6</v>
      </c>
      <c r="D102" s="77">
        <v>15.11</v>
      </c>
      <c r="E102" s="78">
        <f t="shared" si="1"/>
        <v>2.5183333333333331</v>
      </c>
    </row>
    <row r="103" spans="1:11" x14ac:dyDescent="0.2">
      <c r="A103" s="79" t="s">
        <v>70</v>
      </c>
      <c r="B103" s="80" t="s">
        <v>71</v>
      </c>
      <c r="C103" s="113">
        <v>6</v>
      </c>
      <c r="D103" s="77">
        <v>53.26</v>
      </c>
      <c r="E103" s="78">
        <f t="shared" si="1"/>
        <v>8.8766666666666669</v>
      </c>
      <c r="G103" s="14"/>
    </row>
    <row r="104" spans="1:11" ht="13.5" customHeight="1" x14ac:dyDescent="0.2">
      <c r="A104" s="79" t="s">
        <v>72</v>
      </c>
      <c r="B104" s="80" t="s">
        <v>61</v>
      </c>
      <c r="C104" s="113">
        <v>6</v>
      </c>
      <c r="D104" s="77">
        <v>24.9</v>
      </c>
      <c r="E104" s="78">
        <f t="shared" si="1"/>
        <v>4.1499999999999995</v>
      </c>
      <c r="G104" s="14"/>
    </row>
    <row r="105" spans="1:11" x14ac:dyDescent="0.2">
      <c r="A105" s="79" t="s">
        <v>73</v>
      </c>
      <c r="B105" s="80" t="s">
        <v>71</v>
      </c>
      <c r="C105" s="113">
        <v>2</v>
      </c>
      <c r="D105" s="77">
        <v>10.69</v>
      </c>
      <c r="E105" s="78">
        <f t="shared" si="1"/>
        <v>5.3449999999999998</v>
      </c>
      <c r="G105" s="14"/>
    </row>
    <row r="106" spans="1:11" x14ac:dyDescent="0.2">
      <c r="A106" s="79" t="s">
        <v>74</v>
      </c>
      <c r="B106" s="80" t="s">
        <v>75</v>
      </c>
      <c r="C106" s="113">
        <v>2</v>
      </c>
      <c r="D106" s="77">
        <v>30.69</v>
      </c>
      <c r="E106" s="78">
        <f t="shared" si="1"/>
        <v>15.345000000000001</v>
      </c>
      <c r="G106" s="14"/>
    </row>
    <row r="107" spans="1:11" x14ac:dyDescent="0.2">
      <c r="A107" s="79" t="s">
        <v>76</v>
      </c>
      <c r="B107" s="80" t="s">
        <v>61</v>
      </c>
      <c r="C107" s="113">
        <v>6</v>
      </c>
      <c r="D107" s="77">
        <v>5.9</v>
      </c>
      <c r="E107" s="78">
        <f t="shared" si="1"/>
        <v>0.98333333333333339</v>
      </c>
      <c r="G107" s="14"/>
    </row>
    <row r="108" spans="1:11" x14ac:dyDescent="0.2">
      <c r="A108" s="79" t="s">
        <v>45</v>
      </c>
      <c r="B108" s="80" t="s">
        <v>46</v>
      </c>
      <c r="C108" s="88">
        <f>C58</f>
        <v>2</v>
      </c>
      <c r="D108" s="82">
        <f>+SUM(E99:E107)</f>
        <v>64.765000000000001</v>
      </c>
      <c r="E108" s="82">
        <f>C108*D108</f>
        <v>129.53</v>
      </c>
      <c r="G108" s="14"/>
    </row>
    <row r="109" spans="1:11" ht="12.75" customHeight="1" x14ac:dyDescent="0.2">
      <c r="D109" s="89" t="s">
        <v>47</v>
      </c>
      <c r="E109" s="90">
        <f>B38</f>
        <v>0.17</v>
      </c>
      <c r="F109" s="91">
        <f>E108*E109</f>
        <v>22.020100000000003</v>
      </c>
      <c r="G109" s="14"/>
    </row>
    <row r="110" spans="1:11" ht="13.5" customHeight="1" x14ac:dyDescent="0.2">
      <c r="G110" s="14"/>
    </row>
    <row r="111" spans="1:11" ht="12.75" customHeight="1" x14ac:dyDescent="0.2">
      <c r="A111" s="14" t="s">
        <v>77</v>
      </c>
    </row>
    <row r="113" spans="1:10" ht="24" x14ac:dyDescent="0.2">
      <c r="A113" s="71" t="s">
        <v>30</v>
      </c>
      <c r="B113" s="72" t="s">
        <v>3</v>
      </c>
      <c r="C113" s="112" t="s">
        <v>65</v>
      </c>
      <c r="D113" s="73" t="s">
        <v>31</v>
      </c>
      <c r="E113" s="73" t="s">
        <v>32</v>
      </c>
      <c r="F113" s="74" t="s">
        <v>33</v>
      </c>
      <c r="G113" s="114"/>
      <c r="H113" s="61"/>
      <c r="I113" s="61"/>
      <c r="J113" s="61"/>
    </row>
    <row r="114" spans="1:10" x14ac:dyDescent="0.2">
      <c r="A114" s="75" t="s">
        <v>66</v>
      </c>
      <c r="B114" s="76" t="s">
        <v>61</v>
      </c>
      <c r="C114" s="113">
        <f>C99</f>
        <v>12</v>
      </c>
      <c r="D114" s="77">
        <f>+D99</f>
        <v>89</v>
      </c>
      <c r="E114" s="78">
        <f t="shared" ref="E114:E119" si="2">IFERROR(D114/C114,0)</f>
        <v>7.416666666666667</v>
      </c>
    </row>
    <row r="115" spans="1:10" ht="12.75" customHeight="1" x14ac:dyDescent="0.2">
      <c r="A115" s="79" t="s">
        <v>67</v>
      </c>
      <c r="B115" s="80" t="s">
        <v>61</v>
      </c>
      <c r="C115" s="113">
        <f>C100</f>
        <v>6</v>
      </c>
      <c r="D115" s="108">
        <f>+D100</f>
        <v>72.8</v>
      </c>
      <c r="E115" s="78">
        <f t="shared" si="2"/>
        <v>12.133333333333333</v>
      </c>
    </row>
    <row r="116" spans="1:10" x14ac:dyDescent="0.2">
      <c r="A116" s="79" t="s">
        <v>68</v>
      </c>
      <c r="B116" s="80" t="s">
        <v>61</v>
      </c>
      <c r="C116" s="113">
        <f>C101</f>
        <v>6</v>
      </c>
      <c r="D116" s="108">
        <f>+D101</f>
        <v>47.98</v>
      </c>
      <c r="E116" s="78">
        <f t="shared" si="2"/>
        <v>7.9966666666666661</v>
      </c>
    </row>
    <row r="117" spans="1:10" x14ac:dyDescent="0.2">
      <c r="A117" s="79" t="str">
        <f>A103</f>
        <v>Tênis de segurança c/ palmilha aço</v>
      </c>
      <c r="B117" s="80" t="s">
        <v>71</v>
      </c>
      <c r="C117" s="113">
        <f>C103</f>
        <v>6</v>
      </c>
      <c r="D117" s="108">
        <f>+D103</f>
        <v>53.26</v>
      </c>
      <c r="E117" s="78">
        <f t="shared" si="2"/>
        <v>8.8766666666666669</v>
      </c>
    </row>
    <row r="118" spans="1:10" x14ac:dyDescent="0.2">
      <c r="A118" s="79" t="s">
        <v>72</v>
      </c>
      <c r="B118" s="80" t="s">
        <v>61</v>
      </c>
      <c r="C118" s="113">
        <f>C104</f>
        <v>6</v>
      </c>
      <c r="D118" s="108">
        <f>+D104</f>
        <v>24.9</v>
      </c>
      <c r="E118" s="78">
        <f t="shared" si="2"/>
        <v>4.1499999999999995</v>
      </c>
    </row>
    <row r="119" spans="1:10" ht="11.25" customHeight="1" x14ac:dyDescent="0.2">
      <c r="A119" s="79" t="s">
        <v>74</v>
      </c>
      <c r="B119" s="80" t="s">
        <v>75</v>
      </c>
      <c r="C119" s="113">
        <f>C106</f>
        <v>2</v>
      </c>
      <c r="D119" s="108">
        <f>+D106</f>
        <v>30.69</v>
      </c>
      <c r="E119" s="78">
        <f t="shared" si="2"/>
        <v>15.345000000000001</v>
      </c>
    </row>
    <row r="120" spans="1:10" ht="13.5" customHeight="1" x14ac:dyDescent="0.2">
      <c r="A120" s="79" t="str">
        <f>A107</f>
        <v xml:space="preserve">Óculos de sol </v>
      </c>
      <c r="B120" s="80" t="str">
        <f>B107</f>
        <v>unidade</v>
      </c>
      <c r="C120" s="113">
        <f>C107</f>
        <v>6</v>
      </c>
      <c r="D120" s="115">
        <f>D107</f>
        <v>5.9</v>
      </c>
      <c r="E120" s="82">
        <f>C120*D120</f>
        <v>35.400000000000006</v>
      </c>
    </row>
    <row r="121" spans="1:10" ht="11.25" customHeight="1" x14ac:dyDescent="0.2">
      <c r="A121" s="79" t="s">
        <v>45</v>
      </c>
      <c r="B121" s="80" t="s">
        <v>46</v>
      </c>
      <c r="C121" s="88">
        <f>C74</f>
        <v>1</v>
      </c>
      <c r="D121" s="82">
        <f>+SUM(E114:E120)</f>
        <v>91.318333333333328</v>
      </c>
      <c r="E121" s="82">
        <f>C121*D121</f>
        <v>91.318333333333328</v>
      </c>
    </row>
    <row r="122" spans="1:10" x14ac:dyDescent="0.2">
      <c r="D122" s="89" t="s">
        <v>47</v>
      </c>
      <c r="E122" s="90">
        <f>B38</f>
        <v>0.17</v>
      </c>
      <c r="F122" s="91">
        <f>E121*E122</f>
        <v>15.524116666666666</v>
      </c>
    </row>
    <row r="124" spans="1:10" x14ac:dyDescent="0.2">
      <c r="A124" s="109" t="s">
        <v>78</v>
      </c>
      <c r="B124" s="116"/>
      <c r="C124" s="116"/>
      <c r="D124" s="117"/>
      <c r="E124" s="118"/>
      <c r="F124" s="119">
        <f>+F109+F122</f>
        <v>37.544216666666671</v>
      </c>
    </row>
    <row r="126" spans="1:10" x14ac:dyDescent="0.2">
      <c r="A126" s="17" t="s">
        <v>79</v>
      </c>
    </row>
    <row r="127" spans="1:10" x14ac:dyDescent="0.2">
      <c r="B127" s="120"/>
      <c r="G127" s="14"/>
    </row>
    <row r="128" spans="1:10" x14ac:dyDescent="0.2">
      <c r="A128" s="14" t="s">
        <v>80</v>
      </c>
      <c r="G128" s="14"/>
    </row>
    <row r="129" spans="1:10" x14ac:dyDescent="0.2">
      <c r="G129" s="14"/>
    </row>
    <row r="130" spans="1:10" x14ac:dyDescent="0.2">
      <c r="A130" s="121" t="s">
        <v>81</v>
      </c>
      <c r="G130" s="14"/>
    </row>
    <row r="131" spans="1:10" x14ac:dyDescent="0.2">
      <c r="A131" s="71" t="s">
        <v>30</v>
      </c>
      <c r="B131" s="72" t="s">
        <v>3</v>
      </c>
      <c r="C131" s="72" t="s">
        <v>23</v>
      </c>
      <c r="D131" s="73" t="s">
        <v>31</v>
      </c>
      <c r="E131" s="73" t="s">
        <v>32</v>
      </c>
      <c r="F131" s="74" t="s">
        <v>33</v>
      </c>
      <c r="G131" s="14"/>
    </row>
    <row r="132" spans="1:10" ht="11.25" customHeight="1" x14ac:dyDescent="0.2">
      <c r="A132" s="75" t="s">
        <v>82</v>
      </c>
      <c r="B132" s="76" t="s">
        <v>61</v>
      </c>
      <c r="C132" s="76">
        <v>1</v>
      </c>
      <c r="D132" s="77">
        <v>568109</v>
      </c>
      <c r="E132" s="78">
        <f>C132*D132</f>
        <v>568109</v>
      </c>
      <c r="G132" s="14"/>
    </row>
    <row r="133" spans="1:10" x14ac:dyDescent="0.2">
      <c r="A133" s="79" t="s">
        <v>83</v>
      </c>
      <c r="B133" s="80" t="s">
        <v>84</v>
      </c>
      <c r="C133" s="80">
        <v>5</v>
      </c>
      <c r="D133" s="82"/>
      <c r="E133" s="82"/>
      <c r="G133" s="14"/>
    </row>
    <row r="134" spans="1:10" ht="11.25" customHeight="1" x14ac:dyDescent="0.2">
      <c r="A134" s="79" t="s">
        <v>85</v>
      </c>
      <c r="B134" s="80" t="s">
        <v>84</v>
      </c>
      <c r="C134" s="95">
        <v>0</v>
      </c>
      <c r="D134" s="82"/>
      <c r="E134" s="82"/>
      <c r="F134" s="122"/>
      <c r="G134" s="14"/>
    </row>
    <row r="135" spans="1:10" x14ac:dyDescent="0.2">
      <c r="A135" s="79" t="s">
        <v>86</v>
      </c>
      <c r="B135" s="80" t="s">
        <v>19</v>
      </c>
      <c r="C135" s="87">
        <f>IFERROR(VLOOKUP(C133,'5. Depreciação'!A3:B17,2,FALSE()),0)</f>
        <v>55.68</v>
      </c>
      <c r="D135" s="82">
        <f>E132</f>
        <v>568109</v>
      </c>
      <c r="E135" s="82">
        <f>C135*D135/100</f>
        <v>316323.09120000002</v>
      </c>
      <c r="G135" s="14"/>
    </row>
    <row r="136" spans="1:10" ht="11.25" customHeight="1" x14ac:dyDescent="0.2">
      <c r="A136" s="123" t="s">
        <v>87</v>
      </c>
      <c r="B136" s="124" t="s">
        <v>35</v>
      </c>
      <c r="C136" s="124">
        <f>C133*12</f>
        <v>60</v>
      </c>
      <c r="D136" s="125">
        <f>IF(C134&lt;=C133,E135,0)</f>
        <v>316323.09120000002</v>
      </c>
      <c r="E136" s="125">
        <f>IFERROR(D136/C136,0)</f>
        <v>5272.05152</v>
      </c>
      <c r="G136" s="14"/>
    </row>
    <row r="137" spans="1:10" x14ac:dyDescent="0.2">
      <c r="A137" s="75" t="s">
        <v>88</v>
      </c>
      <c r="B137" s="76" t="s">
        <v>61</v>
      </c>
      <c r="C137" s="76">
        <f>C132</f>
        <v>1</v>
      </c>
      <c r="D137" s="77">
        <v>185000</v>
      </c>
      <c r="E137" s="78">
        <f>C137*D137</f>
        <v>185000</v>
      </c>
      <c r="G137" s="14"/>
    </row>
    <row r="138" spans="1:10" ht="11.25" customHeight="1" x14ac:dyDescent="0.2">
      <c r="A138" s="79" t="s">
        <v>89</v>
      </c>
      <c r="B138" s="80" t="s">
        <v>84</v>
      </c>
      <c r="C138" s="80">
        <v>5</v>
      </c>
      <c r="D138" s="82"/>
      <c r="E138" s="82"/>
      <c r="G138" s="14"/>
    </row>
    <row r="139" spans="1:10" x14ac:dyDescent="0.2">
      <c r="A139" s="79" t="s">
        <v>90</v>
      </c>
      <c r="B139" s="80" t="s">
        <v>84</v>
      </c>
      <c r="C139" s="95">
        <v>0</v>
      </c>
      <c r="D139" s="82"/>
      <c r="E139" s="82"/>
      <c r="F139" s="122"/>
      <c r="G139" s="14"/>
    </row>
    <row r="140" spans="1:10" x14ac:dyDescent="0.2">
      <c r="A140" s="79" t="s">
        <v>91</v>
      </c>
      <c r="B140" s="80" t="s">
        <v>19</v>
      </c>
      <c r="C140" s="126">
        <f>IFERROR(VLOOKUP(C138,'5. Depreciação'!A3:B17,2,FALSE()),0)</f>
        <v>55.68</v>
      </c>
      <c r="D140" s="82">
        <f>E137</f>
        <v>185000</v>
      </c>
      <c r="E140" s="82">
        <f>C140*D140/100</f>
        <v>103008</v>
      </c>
      <c r="G140" s="14"/>
    </row>
    <row r="141" spans="1:10" x14ac:dyDescent="0.2">
      <c r="A141" s="96" t="s">
        <v>92</v>
      </c>
      <c r="B141" s="127" t="s">
        <v>35</v>
      </c>
      <c r="C141" s="127">
        <f>C138*12</f>
        <v>60</v>
      </c>
      <c r="D141" s="97">
        <f>IF(C139&lt;=C138,E140,0)</f>
        <v>103008</v>
      </c>
      <c r="E141" s="97">
        <f>IFERROR(D141/C141,0)</f>
        <v>1716.8</v>
      </c>
      <c r="G141" s="14"/>
    </row>
    <row r="142" spans="1:10" x14ac:dyDescent="0.2">
      <c r="A142" s="83" t="s">
        <v>93</v>
      </c>
      <c r="B142" s="84"/>
      <c r="C142" s="84"/>
      <c r="D142" s="85"/>
      <c r="E142" s="86">
        <f>E136+E141</f>
        <v>6988.8515200000002</v>
      </c>
      <c r="G142" s="14"/>
    </row>
    <row r="143" spans="1:10" x14ac:dyDescent="0.2">
      <c r="A143" s="96" t="s">
        <v>94</v>
      </c>
      <c r="B143" s="127" t="s">
        <v>61</v>
      </c>
      <c r="C143" s="88">
        <f>E42</f>
        <v>1</v>
      </c>
      <c r="D143" s="97">
        <f>E142</f>
        <v>6988.8515200000002</v>
      </c>
      <c r="E143" s="86">
        <f>C143*D143</f>
        <v>6988.8515200000002</v>
      </c>
      <c r="I143" s="128"/>
      <c r="J143" s="128"/>
    </row>
    <row r="144" spans="1:10" x14ac:dyDescent="0.2">
      <c r="A144" s="129"/>
      <c r="B144" s="129"/>
      <c r="C144" s="129"/>
      <c r="D144" s="89" t="s">
        <v>47</v>
      </c>
      <c r="E144" s="90">
        <f>$B$44</f>
        <v>0.15</v>
      </c>
      <c r="F144" s="119">
        <f>E143*E144</f>
        <v>1048.327728</v>
      </c>
    </row>
    <row r="146" spans="1:10" x14ac:dyDescent="0.2">
      <c r="A146" s="121" t="s">
        <v>95</v>
      </c>
      <c r="G146" s="14"/>
    </row>
    <row r="147" spans="1:10" x14ac:dyDescent="0.2">
      <c r="A147" s="130" t="s">
        <v>30</v>
      </c>
      <c r="B147" s="131" t="s">
        <v>3</v>
      </c>
      <c r="C147" s="131" t="s">
        <v>23</v>
      </c>
      <c r="D147" s="73" t="s">
        <v>31</v>
      </c>
      <c r="E147" s="132" t="s">
        <v>32</v>
      </c>
      <c r="F147" s="74" t="s">
        <v>33</v>
      </c>
    </row>
    <row r="148" spans="1:10" x14ac:dyDescent="0.2">
      <c r="A148" s="79" t="s">
        <v>96</v>
      </c>
      <c r="B148" s="80" t="s">
        <v>61</v>
      </c>
      <c r="C148" s="76">
        <v>1</v>
      </c>
      <c r="D148" s="82">
        <f>D132</f>
        <v>568109</v>
      </c>
      <c r="E148" s="82">
        <f>C148*D148</f>
        <v>568109</v>
      </c>
      <c r="F148" s="122"/>
      <c r="I148" s="128"/>
      <c r="J148" s="128"/>
    </row>
    <row r="149" spans="1:10" x14ac:dyDescent="0.2">
      <c r="A149" s="79" t="s">
        <v>97</v>
      </c>
      <c r="B149" s="80" t="s">
        <v>19</v>
      </c>
      <c r="C149" s="133">
        <v>0.155</v>
      </c>
      <c r="D149" s="82"/>
      <c r="E149" s="82"/>
      <c r="F149" s="122"/>
    </row>
    <row r="150" spans="1:10" x14ac:dyDescent="0.2">
      <c r="A150" s="79" t="s">
        <v>98</v>
      </c>
      <c r="B150" s="80" t="s">
        <v>40</v>
      </c>
      <c r="C150" s="134">
        <f>IFERROR(IF(C134&lt;=C133,E132-(C135/(100*C133)*C134)*E132,E132-E135),0)</f>
        <v>568109</v>
      </c>
      <c r="D150" s="82"/>
      <c r="E150" s="82"/>
      <c r="F150" s="122"/>
    </row>
    <row r="151" spans="1:10" x14ac:dyDescent="0.2">
      <c r="A151" s="79" t="s">
        <v>99</v>
      </c>
      <c r="B151" s="80" t="s">
        <v>40</v>
      </c>
      <c r="C151" s="82">
        <f>IFERROR(IF(C134&gt;=C133,C150,((((C150)-(E132-E135))*(((C133-C134)+1)/(2*(C133-C134))))+(E132-E135))),0)</f>
        <v>441579.76351999998</v>
      </c>
      <c r="D151" s="82"/>
      <c r="E151" s="82"/>
      <c r="F151" s="122"/>
    </row>
    <row r="152" spans="1:10" x14ac:dyDescent="0.2">
      <c r="A152" s="123" t="s">
        <v>100</v>
      </c>
      <c r="B152" s="124" t="s">
        <v>40</v>
      </c>
      <c r="C152" s="124"/>
      <c r="D152" s="125">
        <f>C149*C151/12</f>
        <v>5703.7386121333329</v>
      </c>
      <c r="E152" s="125">
        <f>D152</f>
        <v>5703.7386121333329</v>
      </c>
      <c r="F152" s="122"/>
    </row>
    <row r="153" spans="1:10" x14ac:dyDescent="0.2">
      <c r="A153" s="75" t="s">
        <v>101</v>
      </c>
      <c r="B153" s="76" t="s">
        <v>61</v>
      </c>
      <c r="C153" s="76">
        <f>C137</f>
        <v>1</v>
      </c>
      <c r="D153" s="78">
        <f>D137</f>
        <v>185000</v>
      </c>
      <c r="E153" s="78">
        <f>C153*D153</f>
        <v>185000</v>
      </c>
      <c r="F153" s="122"/>
    </row>
    <row r="154" spans="1:10" ht="11.25" customHeight="1" x14ac:dyDescent="0.2">
      <c r="A154" s="79" t="s">
        <v>97</v>
      </c>
      <c r="B154" s="80" t="s">
        <v>19</v>
      </c>
      <c r="C154" s="133">
        <v>0.155</v>
      </c>
      <c r="D154" s="82"/>
      <c r="E154" s="82"/>
      <c r="F154" s="122"/>
    </row>
    <row r="155" spans="1:10" x14ac:dyDescent="0.2">
      <c r="A155" s="79" t="s">
        <v>102</v>
      </c>
      <c r="B155" s="80" t="s">
        <v>40</v>
      </c>
      <c r="C155" s="134">
        <f>IFERROR(IF(C139&lt;=C138,E137-(C140/(100*C138)*C139)*E137,E137-E140),0)</f>
        <v>185000</v>
      </c>
      <c r="D155" s="82"/>
      <c r="E155" s="82"/>
      <c r="F155" s="122"/>
    </row>
    <row r="156" spans="1:10" x14ac:dyDescent="0.2">
      <c r="A156" s="79" t="s">
        <v>103</v>
      </c>
      <c r="B156" s="80" t="s">
        <v>40</v>
      </c>
      <c r="C156" s="82">
        <f>IFERROR(IF(C139&gt;=C138,C155,((((C155)-(E137-E140))*(((C138-C139)+1)/(2*(C138-C139))))+(E137-E140))),0)</f>
        <v>143796.79999999999</v>
      </c>
      <c r="D156" s="82"/>
      <c r="E156" s="82"/>
      <c r="F156" s="122"/>
      <c r="I156" s="128"/>
      <c r="J156" s="128"/>
    </row>
    <row r="157" spans="1:10" x14ac:dyDescent="0.2">
      <c r="A157" s="96" t="s">
        <v>104</v>
      </c>
      <c r="B157" s="127" t="s">
        <v>40</v>
      </c>
      <c r="C157" s="127"/>
      <c r="D157" s="97">
        <f>C154*C156/12</f>
        <v>1857.3753333333332</v>
      </c>
      <c r="E157" s="97">
        <f>D157</f>
        <v>1857.3753333333332</v>
      </c>
      <c r="F157" s="122"/>
      <c r="I157" s="128"/>
      <c r="J157" s="128"/>
    </row>
    <row r="158" spans="1:10" x14ac:dyDescent="0.2">
      <c r="A158" s="83" t="s">
        <v>93</v>
      </c>
      <c r="B158" s="84"/>
      <c r="C158" s="84"/>
      <c r="D158" s="85"/>
      <c r="E158" s="86">
        <f>E152+E157</f>
        <v>7561.1139454666663</v>
      </c>
      <c r="F158" s="122"/>
      <c r="I158" s="128"/>
      <c r="J158" s="128"/>
    </row>
    <row r="159" spans="1:10" x14ac:dyDescent="0.2">
      <c r="A159" s="96" t="s">
        <v>94</v>
      </c>
      <c r="B159" s="127" t="s">
        <v>61</v>
      </c>
      <c r="C159" s="88">
        <f>C143</f>
        <v>1</v>
      </c>
      <c r="D159" s="97">
        <f>E158</f>
        <v>7561.1139454666663</v>
      </c>
      <c r="E159" s="86">
        <f>C159*D159</f>
        <v>7561.1139454666663</v>
      </c>
      <c r="F159" s="122"/>
      <c r="I159" s="128"/>
      <c r="J159" s="128"/>
    </row>
    <row r="160" spans="1:10" x14ac:dyDescent="0.2">
      <c r="C160" s="135"/>
      <c r="D160" s="89" t="s">
        <v>47</v>
      </c>
      <c r="E160" s="90">
        <f>$B$44</f>
        <v>0.15</v>
      </c>
      <c r="F160" s="119">
        <f>E159*E160</f>
        <v>1134.16709182</v>
      </c>
      <c r="I160" s="128"/>
      <c r="J160" s="128"/>
    </row>
    <row r="161" spans="1:10" x14ac:dyDescent="0.2">
      <c r="I161" s="128"/>
      <c r="J161" s="128"/>
    </row>
    <row r="162" spans="1:10" x14ac:dyDescent="0.2">
      <c r="A162" s="14" t="s">
        <v>105</v>
      </c>
      <c r="I162" s="128"/>
      <c r="J162" s="128"/>
    </row>
    <row r="163" spans="1:10" x14ac:dyDescent="0.2">
      <c r="A163" s="71" t="s">
        <v>30</v>
      </c>
      <c r="B163" s="72" t="s">
        <v>3</v>
      </c>
      <c r="C163" s="72" t="s">
        <v>23</v>
      </c>
      <c r="D163" s="73" t="s">
        <v>31</v>
      </c>
      <c r="E163" s="73" t="s">
        <v>32</v>
      </c>
      <c r="F163" s="74" t="s">
        <v>33</v>
      </c>
      <c r="I163" s="128"/>
      <c r="J163" s="128"/>
    </row>
    <row r="164" spans="1:10" x14ac:dyDescent="0.2">
      <c r="A164" s="75" t="s">
        <v>106</v>
      </c>
      <c r="B164" s="76" t="s">
        <v>61</v>
      </c>
      <c r="C164" s="78">
        <f>C143</f>
        <v>1</v>
      </c>
      <c r="D164" s="78">
        <f>0.01*($E$132)</f>
        <v>5681.09</v>
      </c>
      <c r="E164" s="78">
        <f>C164*D164</f>
        <v>5681.09</v>
      </c>
      <c r="I164" s="128"/>
      <c r="J164" s="128"/>
    </row>
    <row r="165" spans="1:10" x14ac:dyDescent="0.2">
      <c r="A165" s="79" t="s">
        <v>107</v>
      </c>
      <c r="B165" s="80" t="s">
        <v>61</v>
      </c>
      <c r="C165" s="78">
        <f>C143</f>
        <v>1</v>
      </c>
      <c r="D165" s="82">
        <f>142.69+12.3</f>
        <v>154.99</v>
      </c>
      <c r="E165" s="82">
        <f>C165*D165</f>
        <v>154.99</v>
      </c>
      <c r="I165" s="128"/>
      <c r="J165" s="128"/>
    </row>
    <row r="166" spans="1:10" x14ac:dyDescent="0.2">
      <c r="A166" s="79" t="s">
        <v>108</v>
      </c>
      <c r="B166" s="80" t="s">
        <v>61</v>
      </c>
      <c r="C166" s="78">
        <f>C143</f>
        <v>1</v>
      </c>
      <c r="D166" s="108">
        <v>1500</v>
      </c>
      <c r="E166" s="82">
        <f>C166*D166</f>
        <v>1500</v>
      </c>
      <c r="F166" s="85"/>
      <c r="I166" s="128"/>
      <c r="J166" s="128"/>
    </row>
    <row r="167" spans="1:10" x14ac:dyDescent="0.2">
      <c r="A167" s="96" t="s">
        <v>109</v>
      </c>
      <c r="B167" s="127" t="s">
        <v>35</v>
      </c>
      <c r="C167" s="127">
        <v>12</v>
      </c>
      <c r="D167" s="97">
        <f>SUM(E164:E166)</f>
        <v>7336.08</v>
      </c>
      <c r="E167" s="97">
        <f>D167/C167</f>
        <v>611.34</v>
      </c>
      <c r="I167" s="128"/>
      <c r="J167" s="128"/>
    </row>
    <row r="168" spans="1:10" x14ac:dyDescent="0.2">
      <c r="D168" s="89" t="s">
        <v>47</v>
      </c>
      <c r="E168" s="90">
        <f>$B$44</f>
        <v>0.15</v>
      </c>
      <c r="F168" s="91">
        <f>E167*E168</f>
        <v>91.701000000000008</v>
      </c>
      <c r="I168" s="128"/>
      <c r="J168" s="128"/>
    </row>
    <row r="169" spans="1:10" x14ac:dyDescent="0.2">
      <c r="I169" s="128"/>
      <c r="J169" s="128"/>
    </row>
    <row r="170" spans="1:10" ht="11.25" customHeight="1" x14ac:dyDescent="0.2">
      <c r="A170" s="14" t="s">
        <v>110</v>
      </c>
      <c r="B170" s="136"/>
      <c r="I170" s="128"/>
      <c r="J170" s="128"/>
    </row>
    <row r="171" spans="1:10" x14ac:dyDescent="0.2">
      <c r="B171" s="136"/>
      <c r="I171" s="128"/>
      <c r="J171" s="128"/>
    </row>
    <row r="172" spans="1:10" x14ac:dyDescent="0.2">
      <c r="A172" s="96" t="s">
        <v>111</v>
      </c>
      <c r="B172" s="137">
        <v>860</v>
      </c>
      <c r="I172" s="128"/>
      <c r="J172" s="128"/>
    </row>
    <row r="173" spans="1:10" x14ac:dyDescent="0.2">
      <c r="B173" s="136"/>
      <c r="I173" s="128"/>
      <c r="J173" s="128"/>
    </row>
    <row r="174" spans="1:10" x14ac:dyDescent="0.2">
      <c r="A174" s="71" t="s">
        <v>30</v>
      </c>
      <c r="B174" s="72" t="s">
        <v>3</v>
      </c>
      <c r="C174" s="72" t="s">
        <v>112</v>
      </c>
      <c r="D174" s="73" t="s">
        <v>31</v>
      </c>
      <c r="E174" s="73" t="s">
        <v>32</v>
      </c>
      <c r="F174" s="74" t="s">
        <v>33</v>
      </c>
      <c r="I174" s="128"/>
      <c r="J174" s="128"/>
    </row>
    <row r="175" spans="1:10" x14ac:dyDescent="0.2">
      <c r="A175" s="75" t="s">
        <v>113</v>
      </c>
      <c r="B175" s="76" t="s">
        <v>114</v>
      </c>
      <c r="C175" s="138">
        <v>2.1</v>
      </c>
      <c r="D175" s="139">
        <v>6.19</v>
      </c>
      <c r="E175" s="78"/>
      <c r="I175" s="128"/>
      <c r="J175" s="128"/>
    </row>
    <row r="176" spans="1:10" x14ac:dyDescent="0.2">
      <c r="A176" s="79" t="s">
        <v>115</v>
      </c>
      <c r="B176" s="80" t="s">
        <v>116</v>
      </c>
      <c r="C176" s="102">
        <f>B172</f>
        <v>860</v>
      </c>
      <c r="D176" s="140">
        <f>IFERROR(+D175/C175,"-")</f>
        <v>2.9476190476190478</v>
      </c>
      <c r="E176" s="82">
        <f>IFERROR(C176*D176,"-")</f>
        <v>2534.9523809523812</v>
      </c>
      <c r="I176" s="128"/>
      <c r="J176" s="128"/>
    </row>
    <row r="177" spans="1:10" x14ac:dyDescent="0.2">
      <c r="A177" s="79" t="s">
        <v>117</v>
      </c>
      <c r="B177" s="80" t="s">
        <v>118</v>
      </c>
      <c r="C177" s="141">
        <v>2.2000000000000002</v>
      </c>
      <c r="D177" s="108">
        <v>21.53</v>
      </c>
      <c r="E177" s="82"/>
      <c r="I177" s="128"/>
      <c r="J177" s="128"/>
    </row>
    <row r="178" spans="1:10" ht="11.25" customHeight="1" x14ac:dyDescent="0.2">
      <c r="A178" s="79" t="s">
        <v>119</v>
      </c>
      <c r="B178" s="80" t="s">
        <v>116</v>
      </c>
      <c r="C178" s="102">
        <f>C176</f>
        <v>860</v>
      </c>
      <c r="D178" s="142">
        <f>+C177*D177/1000</f>
        <v>4.7366000000000005E-2</v>
      </c>
      <c r="E178" s="82">
        <f>C178*D178</f>
        <v>40.734760000000001</v>
      </c>
      <c r="I178" s="128"/>
      <c r="J178" s="128"/>
    </row>
    <row r="179" spans="1:10" x14ac:dyDescent="0.2">
      <c r="A179" s="79" t="s">
        <v>120</v>
      </c>
      <c r="B179" s="80" t="s">
        <v>118</v>
      </c>
      <c r="C179" s="141">
        <v>0.2</v>
      </c>
      <c r="D179" s="108">
        <v>72.260000000000005</v>
      </c>
      <c r="E179" s="82"/>
      <c r="I179" s="128"/>
      <c r="J179" s="128"/>
    </row>
    <row r="180" spans="1:10" x14ac:dyDescent="0.2">
      <c r="A180" s="79" t="s">
        <v>121</v>
      </c>
      <c r="B180" s="80" t="s">
        <v>116</v>
      </c>
      <c r="C180" s="102">
        <f>C176</f>
        <v>860</v>
      </c>
      <c r="D180" s="142">
        <f>+C179*D179/1000</f>
        <v>1.4452000000000001E-2</v>
      </c>
      <c r="E180" s="82">
        <f>C180*D180</f>
        <v>12.428720000000002</v>
      </c>
      <c r="I180" s="128"/>
      <c r="J180" s="128"/>
    </row>
    <row r="181" spans="1:10" x14ac:dyDescent="0.2">
      <c r="A181" s="79" t="s">
        <v>122</v>
      </c>
      <c r="B181" s="80" t="s">
        <v>118</v>
      </c>
      <c r="C181" s="141">
        <v>8</v>
      </c>
      <c r="D181" s="108">
        <v>17.510000000000002</v>
      </c>
      <c r="E181" s="82"/>
      <c r="I181" s="128"/>
      <c r="J181" s="128"/>
    </row>
    <row r="182" spans="1:10" x14ac:dyDescent="0.2">
      <c r="A182" s="79" t="s">
        <v>123</v>
      </c>
      <c r="B182" s="80" t="s">
        <v>116</v>
      </c>
      <c r="C182" s="102">
        <f>C176</f>
        <v>860</v>
      </c>
      <c r="D182" s="142">
        <f>+C181*D181/1000</f>
        <v>0.14008000000000001</v>
      </c>
      <c r="E182" s="82">
        <f>C182*D182</f>
        <v>120.4688</v>
      </c>
      <c r="I182" s="128"/>
      <c r="J182" s="128"/>
    </row>
    <row r="183" spans="1:10" x14ac:dyDescent="0.2">
      <c r="A183" s="79" t="s">
        <v>124</v>
      </c>
      <c r="B183" s="80" t="s">
        <v>125</v>
      </c>
      <c r="C183" s="141">
        <v>0.8</v>
      </c>
      <c r="D183" s="108">
        <v>49.93</v>
      </c>
      <c r="E183" s="82"/>
      <c r="I183" s="128"/>
      <c r="J183" s="128"/>
    </row>
    <row r="184" spans="1:10" x14ac:dyDescent="0.2">
      <c r="A184" s="79" t="s">
        <v>126</v>
      </c>
      <c r="B184" s="80" t="s">
        <v>116</v>
      </c>
      <c r="C184" s="102">
        <f>C176</f>
        <v>860</v>
      </c>
      <c r="D184" s="142">
        <f>+C183*D183/1000</f>
        <v>3.9944E-2</v>
      </c>
      <c r="E184" s="82">
        <f>C184*D184</f>
        <v>34.351840000000003</v>
      </c>
      <c r="I184" s="128"/>
      <c r="J184" s="128"/>
    </row>
    <row r="185" spans="1:10" x14ac:dyDescent="0.2">
      <c r="A185" s="96" t="s">
        <v>127</v>
      </c>
      <c r="B185" s="127" t="s">
        <v>128</v>
      </c>
      <c r="C185" s="143"/>
      <c r="D185" s="144">
        <f>IFERROR(D176+D178+D180+D182+D184,0)</f>
        <v>3.1894610476190479</v>
      </c>
      <c r="E185" s="82"/>
      <c r="I185" s="128"/>
      <c r="J185" s="128"/>
    </row>
    <row r="186" spans="1:10" x14ac:dyDescent="0.2">
      <c r="F186" s="119">
        <f>SUM(E175:E184)</f>
        <v>2742.9365009523808</v>
      </c>
      <c r="I186" s="128"/>
      <c r="J186" s="128"/>
    </row>
    <row r="187" spans="1:10" x14ac:dyDescent="0.2">
      <c r="I187" s="128"/>
      <c r="J187" s="128"/>
    </row>
    <row r="188" spans="1:10" x14ac:dyDescent="0.2">
      <c r="A188" s="14" t="s">
        <v>129</v>
      </c>
      <c r="I188" s="128"/>
      <c r="J188" s="128"/>
    </row>
    <row r="189" spans="1:10" x14ac:dyDescent="0.2">
      <c r="A189" s="71" t="s">
        <v>30</v>
      </c>
      <c r="B189" s="72" t="s">
        <v>3</v>
      </c>
      <c r="C189" s="72" t="s">
        <v>23</v>
      </c>
      <c r="D189" s="73" t="s">
        <v>31</v>
      </c>
      <c r="E189" s="73" t="s">
        <v>32</v>
      </c>
      <c r="F189" s="74" t="s">
        <v>33</v>
      </c>
      <c r="I189" s="128"/>
      <c r="J189" s="128"/>
    </row>
    <row r="190" spans="1:10" x14ac:dyDescent="0.2">
      <c r="A190" s="75" t="s">
        <v>130</v>
      </c>
      <c r="B190" s="76" t="s">
        <v>128</v>
      </c>
      <c r="C190" s="102">
        <f>C176</f>
        <v>860</v>
      </c>
      <c r="D190" s="77">
        <v>0.98509999999999998</v>
      </c>
      <c r="E190" s="78">
        <f>C190*D190</f>
        <v>847.18600000000004</v>
      </c>
      <c r="I190" s="128"/>
      <c r="J190" s="128"/>
    </row>
    <row r="191" spans="1:10" x14ac:dyDescent="0.2">
      <c r="F191" s="119">
        <f>E190</f>
        <v>847.18600000000004</v>
      </c>
      <c r="I191" s="128"/>
      <c r="J191" s="128"/>
    </row>
    <row r="192" spans="1:10" x14ac:dyDescent="0.2">
      <c r="I192" s="128"/>
      <c r="J192" s="128"/>
    </row>
    <row r="193" spans="1:10" x14ac:dyDescent="0.2">
      <c r="A193" s="14" t="s">
        <v>131</v>
      </c>
      <c r="I193" s="128"/>
      <c r="J193" s="128"/>
    </row>
    <row r="194" spans="1:10" x14ac:dyDescent="0.2">
      <c r="A194" s="71" t="s">
        <v>30</v>
      </c>
      <c r="B194" s="72" t="s">
        <v>3</v>
      </c>
      <c r="C194" s="72" t="s">
        <v>23</v>
      </c>
      <c r="D194" s="73" t="s">
        <v>31</v>
      </c>
      <c r="E194" s="73" t="s">
        <v>32</v>
      </c>
      <c r="F194" s="74" t="s">
        <v>33</v>
      </c>
      <c r="I194" s="128"/>
      <c r="J194" s="128"/>
    </row>
    <row r="195" spans="1:10" x14ac:dyDescent="0.2">
      <c r="A195" s="75" t="s">
        <v>132</v>
      </c>
      <c r="B195" s="76" t="s">
        <v>61</v>
      </c>
      <c r="C195" s="76">
        <v>10</v>
      </c>
      <c r="D195" s="77">
        <v>2090.7199999999998</v>
      </c>
      <c r="E195" s="78">
        <f>C195*D195</f>
        <v>20907.199999999997</v>
      </c>
      <c r="I195" s="128"/>
      <c r="J195" s="128"/>
    </row>
    <row r="196" spans="1:10" ht="11.25" customHeight="1" x14ac:dyDescent="0.2">
      <c r="A196" s="75" t="s">
        <v>133</v>
      </c>
      <c r="B196" s="76" t="s">
        <v>61</v>
      </c>
      <c r="C196" s="76">
        <v>2</v>
      </c>
      <c r="D196" s="78"/>
      <c r="E196" s="78"/>
      <c r="I196" s="128"/>
      <c r="J196" s="128"/>
    </row>
    <row r="197" spans="1:10" x14ac:dyDescent="0.2">
      <c r="A197" s="75" t="s">
        <v>134</v>
      </c>
      <c r="B197" s="76" t="s">
        <v>61</v>
      </c>
      <c r="C197" s="78">
        <f>C195*C196</f>
        <v>20</v>
      </c>
      <c r="D197" s="77">
        <v>800</v>
      </c>
      <c r="E197" s="78">
        <f>C197*D197</f>
        <v>16000</v>
      </c>
      <c r="I197" s="128"/>
      <c r="J197" s="128"/>
    </row>
    <row r="198" spans="1:10" x14ac:dyDescent="0.2">
      <c r="A198" s="79" t="s">
        <v>135</v>
      </c>
      <c r="B198" s="80" t="s">
        <v>136</v>
      </c>
      <c r="C198" s="145">
        <v>65000</v>
      </c>
      <c r="D198" s="82">
        <f>E195+E197</f>
        <v>36907.199999999997</v>
      </c>
      <c r="E198" s="82">
        <f>IFERROR(D198/C198,"-")</f>
        <v>0.56780307692307685</v>
      </c>
      <c r="I198" s="128"/>
      <c r="J198" s="128"/>
    </row>
    <row r="199" spans="1:10" x14ac:dyDescent="0.2">
      <c r="A199" s="79" t="s">
        <v>137</v>
      </c>
      <c r="B199" s="80" t="s">
        <v>116</v>
      </c>
      <c r="C199" s="102">
        <f>B172</f>
        <v>860</v>
      </c>
      <c r="D199" s="82">
        <f>E198</f>
        <v>0.56780307692307685</v>
      </c>
      <c r="E199" s="82">
        <f>IFERROR(C199*D199,0)</f>
        <v>488.31064615384611</v>
      </c>
      <c r="I199" s="128"/>
      <c r="J199" s="128"/>
    </row>
    <row r="200" spans="1:10" x14ac:dyDescent="0.2">
      <c r="F200" s="119">
        <f>E199</f>
        <v>488.31064615384611</v>
      </c>
      <c r="I200" s="128"/>
      <c r="J200" s="128"/>
    </row>
    <row r="201" spans="1:10" ht="11.25" customHeight="1" x14ac:dyDescent="0.2">
      <c r="I201" s="128"/>
      <c r="J201" s="128"/>
    </row>
    <row r="202" spans="1:10" x14ac:dyDescent="0.2">
      <c r="I202" s="128"/>
      <c r="J202" s="128"/>
    </row>
    <row r="203" spans="1:10" x14ac:dyDescent="0.2">
      <c r="A203" s="109" t="s">
        <v>138</v>
      </c>
      <c r="B203" s="110"/>
      <c r="C203" s="110"/>
      <c r="D203" s="46"/>
      <c r="E203" s="111"/>
      <c r="F203" s="119">
        <f>+SUM(F132:F202)</f>
        <v>6352.6289669262269</v>
      </c>
      <c r="I203" s="128"/>
      <c r="J203" s="128"/>
    </row>
    <row r="204" spans="1:10" x14ac:dyDescent="0.2">
      <c r="I204" s="128"/>
      <c r="J204" s="128"/>
    </row>
    <row r="205" spans="1:10" x14ac:dyDescent="0.2">
      <c r="A205" s="17" t="s">
        <v>139</v>
      </c>
      <c r="B205" s="17"/>
      <c r="C205" s="17"/>
      <c r="D205" s="40"/>
      <c r="E205" s="40"/>
      <c r="F205" s="85"/>
      <c r="I205" s="128"/>
      <c r="J205" s="128"/>
    </row>
    <row r="206" spans="1:10" x14ac:dyDescent="0.2">
      <c r="I206" s="128"/>
      <c r="J206" s="128"/>
    </row>
    <row r="207" spans="1:10" x14ac:dyDescent="0.2">
      <c r="A207" s="71" t="s">
        <v>30</v>
      </c>
      <c r="B207" s="72" t="s">
        <v>3</v>
      </c>
      <c r="C207" s="72" t="s">
        <v>23</v>
      </c>
      <c r="D207" s="73" t="s">
        <v>31</v>
      </c>
      <c r="E207" s="73" t="s">
        <v>32</v>
      </c>
      <c r="F207" s="74" t="s">
        <v>33</v>
      </c>
      <c r="I207" s="128"/>
      <c r="J207" s="128"/>
    </row>
    <row r="208" spans="1:10" x14ac:dyDescent="0.2">
      <c r="A208" s="79" t="s">
        <v>140</v>
      </c>
      <c r="B208" s="80" t="s">
        <v>61</v>
      </c>
      <c r="C208" s="113">
        <v>0.16666666666666699</v>
      </c>
      <c r="D208" s="77">
        <v>49.9</v>
      </c>
      <c r="E208" s="82">
        <f>C208*D208</f>
        <v>8.3166666666666824</v>
      </c>
      <c r="F208" s="122"/>
      <c r="I208" s="128"/>
      <c r="J208" s="128"/>
    </row>
    <row r="209" spans="1:11" x14ac:dyDescent="0.2">
      <c r="A209" s="79" t="s">
        <v>141</v>
      </c>
      <c r="B209" s="80" t="s">
        <v>61</v>
      </c>
      <c r="C209" s="113">
        <v>0.16666666666666699</v>
      </c>
      <c r="D209" s="77">
        <v>39.9</v>
      </c>
      <c r="E209" s="82">
        <f>C209*D209</f>
        <v>6.6500000000000128</v>
      </c>
      <c r="F209" s="122"/>
      <c r="I209" s="128"/>
      <c r="J209" s="128"/>
    </row>
    <row r="210" spans="1:11" ht="11.25" customHeight="1" x14ac:dyDescent="0.2">
      <c r="A210" s="79" t="s">
        <v>142</v>
      </c>
      <c r="B210" s="80" t="s">
        <v>61</v>
      </c>
      <c r="C210" s="113">
        <v>0.33333333333333298</v>
      </c>
      <c r="D210" s="77">
        <v>49.99</v>
      </c>
      <c r="E210" s="82">
        <f>C210*D210</f>
        <v>16.663333333333316</v>
      </c>
      <c r="F210" s="122"/>
      <c r="I210" s="128"/>
      <c r="J210" s="128"/>
    </row>
    <row r="211" spans="1:11" ht="11.25" customHeight="1" x14ac:dyDescent="0.2">
      <c r="A211" s="79" t="s">
        <v>143</v>
      </c>
      <c r="B211" s="80" t="s">
        <v>144</v>
      </c>
      <c r="C211" s="113">
        <v>8.3333333333333301E-2</v>
      </c>
      <c r="D211" s="77">
        <v>899</v>
      </c>
      <c r="E211" s="82">
        <f>C211*D211</f>
        <v>74.916666666666643</v>
      </c>
      <c r="F211" s="122"/>
      <c r="G211" s="14"/>
    </row>
    <row r="212" spans="1:11" x14ac:dyDescent="0.2">
      <c r="A212" s="79" t="s">
        <v>145</v>
      </c>
      <c r="B212" s="80" t="s">
        <v>144</v>
      </c>
      <c r="C212" s="113">
        <v>8.3333333333333301E-2</v>
      </c>
      <c r="D212" s="77">
        <v>85</v>
      </c>
      <c r="E212" s="82">
        <f>C212*D212</f>
        <v>7.0833333333333304</v>
      </c>
      <c r="F212" s="122"/>
      <c r="G212" s="14"/>
    </row>
    <row r="213" spans="1:11" ht="11.25" customHeight="1" x14ac:dyDescent="0.2">
      <c r="A213" s="17"/>
      <c r="B213" s="17"/>
      <c r="C213" s="17"/>
      <c r="D213" s="17"/>
      <c r="E213" s="40"/>
      <c r="F213" s="119">
        <f>SUM(E208:E212)-0.01</f>
        <v>113.61999999999998</v>
      </c>
      <c r="G213" s="14"/>
    </row>
    <row r="214" spans="1:11" x14ac:dyDescent="0.2">
      <c r="G214" s="14"/>
    </row>
    <row r="215" spans="1:11" x14ac:dyDescent="0.2">
      <c r="G215" s="14"/>
    </row>
    <row r="216" spans="1:11" ht="11.25" customHeight="1" x14ac:dyDescent="0.2">
      <c r="A216" s="109" t="s">
        <v>146</v>
      </c>
      <c r="B216" s="110"/>
      <c r="C216" s="110"/>
      <c r="D216" s="46"/>
      <c r="E216" s="111"/>
      <c r="F216" s="119">
        <f>F213</f>
        <v>113.61999999999998</v>
      </c>
      <c r="G216" s="14"/>
    </row>
    <row r="217" spans="1:11" x14ac:dyDescent="0.2">
      <c r="G217" s="14"/>
    </row>
    <row r="218" spans="1:11" x14ac:dyDescent="0.2">
      <c r="A218" s="17" t="s">
        <v>147</v>
      </c>
      <c r="B218" s="17"/>
      <c r="C218" s="17"/>
      <c r="D218" s="40"/>
      <c r="E218" s="40"/>
      <c r="F218" s="85"/>
      <c r="G218" s="14"/>
      <c r="K218" s="146"/>
    </row>
    <row r="219" spans="1:11" x14ac:dyDescent="0.2">
      <c r="G219" s="14"/>
    </row>
    <row r="220" spans="1:11" x14ac:dyDescent="0.2">
      <c r="A220" s="71" t="s">
        <v>30</v>
      </c>
      <c r="B220" s="72" t="s">
        <v>3</v>
      </c>
      <c r="C220" s="72" t="s">
        <v>23</v>
      </c>
      <c r="D220" s="73" t="s">
        <v>31</v>
      </c>
      <c r="E220" s="73" t="s">
        <v>32</v>
      </c>
      <c r="F220" s="74" t="s">
        <v>33</v>
      </c>
      <c r="G220" s="14"/>
    </row>
    <row r="221" spans="1:11" x14ac:dyDescent="0.2">
      <c r="A221" s="79" t="s">
        <v>148</v>
      </c>
      <c r="B221" s="147" t="s">
        <v>144</v>
      </c>
      <c r="C221" s="148">
        <f>C143</f>
        <v>1</v>
      </c>
      <c r="D221" s="108">
        <v>199</v>
      </c>
      <c r="E221" s="82">
        <f>+D221*C221</f>
        <v>199</v>
      </c>
      <c r="F221" s="122"/>
      <c r="G221" s="14"/>
    </row>
    <row r="222" spans="1:11" x14ac:dyDescent="0.2">
      <c r="A222" s="79" t="s">
        <v>149</v>
      </c>
      <c r="B222" s="147" t="s">
        <v>35</v>
      </c>
      <c r="C222" s="80">
        <v>60</v>
      </c>
      <c r="D222" s="149">
        <f>SUM(E221)</f>
        <v>199</v>
      </c>
      <c r="E222" s="149">
        <f>+D222/C222</f>
        <v>3.3166666666666669</v>
      </c>
      <c r="F222" s="122"/>
      <c r="G222" s="14"/>
    </row>
    <row r="223" spans="1:11" x14ac:dyDescent="0.2">
      <c r="A223" s="79" t="s">
        <v>150</v>
      </c>
      <c r="B223" s="80" t="s">
        <v>61</v>
      </c>
      <c r="C223" s="148">
        <f>+C221</f>
        <v>1</v>
      </c>
      <c r="D223" s="108">
        <v>152.9</v>
      </c>
      <c r="E223" s="82">
        <f>C223*D223</f>
        <v>152.9</v>
      </c>
      <c r="F223" s="122"/>
      <c r="G223" s="14"/>
    </row>
    <row r="224" spans="1:11" x14ac:dyDescent="0.2">
      <c r="A224" s="79" t="s">
        <v>151</v>
      </c>
      <c r="B224" s="147" t="s">
        <v>35</v>
      </c>
      <c r="C224" s="80">
        <v>1</v>
      </c>
      <c r="D224" s="149">
        <f>+E223</f>
        <v>152.9</v>
      </c>
      <c r="E224" s="149">
        <f>+D224/C224</f>
        <v>152.9</v>
      </c>
      <c r="F224" s="122"/>
      <c r="G224" s="14"/>
    </row>
    <row r="225" spans="1:7" x14ac:dyDescent="0.2">
      <c r="A225" s="98"/>
      <c r="B225" s="98"/>
      <c r="C225" s="98"/>
      <c r="D225" s="89" t="s">
        <v>47</v>
      </c>
      <c r="E225" s="90">
        <f>$B$44</f>
        <v>0.15</v>
      </c>
      <c r="F225" s="119">
        <f>(E222+E224)*E225</f>
        <v>23.432500000000001</v>
      </c>
      <c r="G225" s="14"/>
    </row>
    <row r="226" spans="1:7" ht="11.25" customHeight="1" x14ac:dyDescent="0.2">
      <c r="G226" s="14"/>
    </row>
    <row r="227" spans="1:7" x14ac:dyDescent="0.2">
      <c r="A227" s="109" t="s">
        <v>152</v>
      </c>
      <c r="B227" s="110"/>
      <c r="C227" s="110"/>
      <c r="D227" s="46"/>
      <c r="E227" s="111"/>
      <c r="F227" s="119">
        <f>+F225</f>
        <v>23.432500000000001</v>
      </c>
    </row>
    <row r="228" spans="1:7" ht="11.25" customHeight="1" x14ac:dyDescent="0.2"/>
    <row r="229" spans="1:7" ht="11.25" customHeight="1" x14ac:dyDescent="0.2">
      <c r="A229" s="296" t="s">
        <v>162</v>
      </c>
      <c r="B229" s="296"/>
    </row>
    <row r="230" spans="1:7" ht="11.25" customHeight="1" x14ac:dyDescent="0.2"/>
    <row r="231" spans="1:7" ht="11.25" customHeight="1" x14ac:dyDescent="0.2">
      <c r="A231" s="71" t="s">
        <v>30</v>
      </c>
      <c r="B231" s="72" t="s">
        <v>3</v>
      </c>
      <c r="C231" s="72" t="s">
        <v>23</v>
      </c>
      <c r="D231" s="73" t="s">
        <v>31</v>
      </c>
      <c r="E231" s="73" t="s">
        <v>32</v>
      </c>
      <c r="F231" s="74" t="s">
        <v>33</v>
      </c>
    </row>
    <row r="232" spans="1:7" ht="11.25" customHeight="1" x14ac:dyDescent="0.2">
      <c r="A232" s="75"/>
      <c r="B232" s="76" t="s">
        <v>163</v>
      </c>
      <c r="C232" s="165">
        <v>60</v>
      </c>
      <c r="D232" s="78">
        <v>158.63999999999999</v>
      </c>
      <c r="E232" s="78">
        <f>C232*D232</f>
        <v>9518.4</v>
      </c>
    </row>
    <row r="233" spans="1:7" ht="11.25" customHeight="1" x14ac:dyDescent="0.2">
      <c r="F233" s="119">
        <f>+E232</f>
        <v>9518.4</v>
      </c>
    </row>
    <row r="234" spans="1:7" ht="11.25" customHeight="1" x14ac:dyDescent="0.2"/>
    <row r="235" spans="1:7" ht="11.25" customHeight="1" x14ac:dyDescent="0.2">
      <c r="A235" s="109" t="s">
        <v>164</v>
      </c>
      <c r="B235" s="116"/>
      <c r="C235" s="116"/>
      <c r="D235" s="117"/>
      <c r="E235" s="118"/>
      <c r="F235" s="106">
        <f>F233</f>
        <v>9518.4</v>
      </c>
    </row>
    <row r="236" spans="1:7" ht="11.25" customHeight="1" x14ac:dyDescent="0.2"/>
    <row r="237" spans="1:7" ht="11.25" customHeight="1" x14ac:dyDescent="0.2"/>
    <row r="238" spans="1:7" x14ac:dyDescent="0.2">
      <c r="A238" s="109" t="s">
        <v>153</v>
      </c>
      <c r="B238" s="116"/>
      <c r="C238" s="116"/>
      <c r="D238" s="117"/>
      <c r="E238" s="118"/>
      <c r="F238" s="106">
        <f>F92+F124+F203+F216+F227+F235</f>
        <v>19183.970665990822</v>
      </c>
    </row>
    <row r="240" spans="1:7" x14ac:dyDescent="0.2">
      <c r="A240" s="17" t="s">
        <v>165</v>
      </c>
    </row>
    <row r="242" spans="1:11" x14ac:dyDescent="0.2">
      <c r="A242" s="71" t="s">
        <v>30</v>
      </c>
      <c r="B242" s="72" t="s">
        <v>3</v>
      </c>
      <c r="C242" s="72" t="s">
        <v>23</v>
      </c>
      <c r="D242" s="73" t="s">
        <v>31</v>
      </c>
      <c r="E242" s="73" t="s">
        <v>32</v>
      </c>
      <c r="F242" s="74" t="s">
        <v>33</v>
      </c>
    </row>
    <row r="243" spans="1:11" x14ac:dyDescent="0.2">
      <c r="A243" s="75" t="s">
        <v>155</v>
      </c>
      <c r="B243" s="76" t="s">
        <v>19</v>
      </c>
      <c r="C243" s="150">
        <f>'4.BDI'!C21</f>
        <v>0.33160000000000001</v>
      </c>
      <c r="D243" s="78">
        <f>+F238</f>
        <v>19183.970665990822</v>
      </c>
      <c r="E243" s="78">
        <f>C243*D243</f>
        <v>6361.4046728425565</v>
      </c>
    </row>
    <row r="244" spans="1:11" ht="11.25" customHeight="1" x14ac:dyDescent="0.2">
      <c r="F244" s="119">
        <f>+E243</f>
        <v>6361.4046728425565</v>
      </c>
      <c r="G244" s="151"/>
      <c r="H244" s="146"/>
      <c r="I244" s="146"/>
      <c r="J244" s="146"/>
    </row>
    <row r="246" spans="1:11" ht="11.25" customHeight="1" x14ac:dyDescent="0.2">
      <c r="A246" s="109" t="s">
        <v>156</v>
      </c>
      <c r="B246" s="116"/>
      <c r="C246" s="116"/>
      <c r="D246" s="117"/>
      <c r="E246" s="118"/>
      <c r="F246" s="106">
        <f>F244</f>
        <v>6361.4046728425565</v>
      </c>
    </row>
    <row r="247" spans="1:11" x14ac:dyDescent="0.2">
      <c r="A247" s="17"/>
      <c r="B247" s="17"/>
      <c r="C247" s="17"/>
      <c r="D247" s="40"/>
      <c r="E247" s="40"/>
      <c r="F247" s="85"/>
    </row>
    <row r="248" spans="1:11" ht="11.25" customHeight="1" x14ac:dyDescent="0.2">
      <c r="K248" s="20"/>
    </row>
    <row r="249" spans="1:11" x14ac:dyDescent="0.2">
      <c r="A249" s="109" t="s">
        <v>157</v>
      </c>
      <c r="B249" s="116"/>
      <c r="C249" s="116"/>
      <c r="D249" s="117"/>
      <c r="E249" s="118"/>
      <c r="F249" s="106">
        <f>F238+F246</f>
        <v>25545.375338833379</v>
      </c>
      <c r="H249" s="128"/>
      <c r="K249" s="20"/>
    </row>
    <row r="250" spans="1:11" ht="11.25" customHeight="1" x14ac:dyDescent="0.2">
      <c r="A250" s="152"/>
      <c r="B250" s="152"/>
      <c r="C250" s="152"/>
      <c r="D250" s="153"/>
      <c r="E250" s="153"/>
      <c r="F250" s="154"/>
      <c r="K250" s="20"/>
    </row>
    <row r="251" spans="1:11" ht="11.25" customHeight="1" x14ac:dyDescent="0.2">
      <c r="A251" s="152"/>
      <c r="B251" s="152"/>
      <c r="C251" s="152"/>
      <c r="D251" s="153"/>
      <c r="E251" s="153"/>
      <c r="F251" s="154"/>
      <c r="K251" s="20"/>
    </row>
    <row r="252" spans="1:11" ht="11.25" customHeight="1" x14ac:dyDescent="0.2">
      <c r="A252" s="155" t="s">
        <v>158</v>
      </c>
      <c r="B252" s="156"/>
      <c r="C252" s="156"/>
      <c r="D252" s="33">
        <v>60</v>
      </c>
      <c r="E252" s="157" t="s">
        <v>163</v>
      </c>
      <c r="K252" s="20"/>
    </row>
    <row r="253" spans="1:11" ht="11.25" customHeight="1" x14ac:dyDescent="0.2">
      <c r="K253" s="20"/>
    </row>
    <row r="254" spans="1:11" ht="11.25" customHeight="1" x14ac:dyDescent="0.2">
      <c r="A254" s="109" t="s">
        <v>159</v>
      </c>
      <c r="B254" s="110"/>
      <c r="C254" s="110"/>
      <c r="D254" s="46"/>
      <c r="E254" s="158" t="s">
        <v>166</v>
      </c>
      <c r="F254" s="159">
        <f>F249/D252</f>
        <v>425.75625564722299</v>
      </c>
      <c r="K254" s="20"/>
    </row>
    <row r="255" spans="1:11" ht="14.25" x14ac:dyDescent="0.2">
      <c r="A255" s="36"/>
      <c r="B255" s="36"/>
      <c r="C255" s="36"/>
      <c r="D255" s="37"/>
      <c r="E255" s="37"/>
    </row>
  </sheetData>
  <mergeCells count="8">
    <mergeCell ref="A33:D33"/>
    <mergeCell ref="A41:D41"/>
    <mergeCell ref="A229:B229"/>
    <mergeCell ref="A2:F4"/>
    <mergeCell ref="A6:F7"/>
    <mergeCell ref="A9:F9"/>
    <mergeCell ref="A16:C16"/>
    <mergeCell ref="A32:E32"/>
  </mergeCells>
  <hyperlinks>
    <hyperlink ref="A130" location="AbaDeprec" display="3.1.1. Depreciação"/>
    <hyperlink ref="A146" location="AbaRemun" display="3.1.2. Remuneração do Capital"/>
  </hyperlinks>
  <pageMargins left="0.59027777777777801" right="0.59027777777777801" top="0.74791666666666701" bottom="0.74791666666666701" header="0.511811023622047" footer="0.31527777777777799"/>
  <pageSetup paperSize="9" scale="75" orientation="portrait" horizontalDpi="300" verticalDpi="300" r:id="rId1"/>
  <headerFooter>
    <oddFooter>&amp;R&amp;P de &amp;N</oddFooter>
  </headerFooter>
  <rowBreaks count="4" manualBreakCount="4">
    <brk id="59" max="16383" man="1"/>
    <brk id="85" max="16383" man="1"/>
    <brk id="145" max="16383" man="1"/>
    <brk id="204" max="16383" man="1"/>
  </row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view="pageBreakPreview" zoomScaleNormal="100" workbookViewId="0">
      <selection activeCell="A5" sqref="A5"/>
    </sheetView>
  </sheetViews>
  <sheetFormatPr defaultColWidth="9.140625" defaultRowHeight="12.75" customHeight="1" x14ac:dyDescent="0.2"/>
  <cols>
    <col min="1" max="1" width="13.5703125" style="61" customWidth="1"/>
    <col min="2" max="2" width="39.5703125" style="61" customWidth="1"/>
    <col min="3" max="3" width="14.5703125" style="61" customWidth="1"/>
    <col min="4" max="4" width="37.28515625" style="61" customWidth="1"/>
    <col min="5" max="10" width="9.140625" style="61"/>
    <col min="11" max="11" width="11" style="61" customWidth="1"/>
    <col min="12" max="16384" width="9.140625" style="61"/>
  </cols>
  <sheetData>
    <row r="1" spans="1:7" x14ac:dyDescent="0.2">
      <c r="A1" s="17" t="s">
        <v>167</v>
      </c>
    </row>
    <row r="2" spans="1:7" x14ac:dyDescent="0.2">
      <c r="A2" s="166" t="s">
        <v>168</v>
      </c>
    </row>
    <row r="3" spans="1:7" s="20" customFormat="1" ht="15" customHeight="1" x14ac:dyDescent="0.2">
      <c r="B3" s="16"/>
      <c r="C3" s="16"/>
      <c r="D3" s="16"/>
      <c r="E3" s="16"/>
      <c r="F3" s="16"/>
      <c r="G3" s="15"/>
    </row>
    <row r="4" spans="1:7" s="20" customFormat="1" ht="15" customHeight="1" x14ac:dyDescent="0.2">
      <c r="A4" s="167"/>
      <c r="B4" s="16"/>
      <c r="C4" s="16"/>
      <c r="D4" s="16"/>
      <c r="E4" s="16"/>
      <c r="F4" s="16"/>
      <c r="G4" s="15"/>
    </row>
    <row r="5" spans="1:7" s="20" customFormat="1" ht="16.5" customHeight="1" x14ac:dyDescent="0.2">
      <c r="A5" s="167" t="s">
        <v>169</v>
      </c>
      <c r="B5" s="16"/>
      <c r="C5" s="16"/>
      <c r="D5" s="15"/>
      <c r="E5" s="15"/>
      <c r="F5" s="15"/>
      <c r="G5" s="15"/>
    </row>
    <row r="7" spans="1:7" ht="18" x14ac:dyDescent="0.2">
      <c r="A7" s="297" t="s">
        <v>170</v>
      </c>
      <c r="B7" s="297"/>
      <c r="C7" s="297"/>
      <c r="D7" s="168"/>
      <c r="E7" s="168"/>
      <c r="F7" s="168"/>
    </row>
    <row r="8" spans="1:7" ht="14.25" x14ac:dyDescent="0.2">
      <c r="A8" s="169" t="s">
        <v>171</v>
      </c>
      <c r="B8" s="170" t="s">
        <v>2</v>
      </c>
      <c r="C8" s="171" t="s">
        <v>172</v>
      </c>
      <c r="D8" s="172"/>
    </row>
    <row r="9" spans="1:7" ht="14.25" x14ac:dyDescent="0.2">
      <c r="A9" s="169" t="s">
        <v>173</v>
      </c>
      <c r="B9" s="170" t="s">
        <v>174</v>
      </c>
      <c r="C9" s="173">
        <v>0.2</v>
      </c>
      <c r="D9" s="172"/>
    </row>
    <row r="10" spans="1:7" ht="14.25" x14ac:dyDescent="0.2">
      <c r="A10" s="169" t="s">
        <v>175</v>
      </c>
      <c r="B10" s="170" t="s">
        <v>176</v>
      </c>
      <c r="C10" s="173">
        <v>1.4999999999999999E-2</v>
      </c>
      <c r="D10" s="172"/>
    </row>
    <row r="11" spans="1:7" ht="14.25" x14ac:dyDescent="0.2">
      <c r="A11" s="169" t="s">
        <v>177</v>
      </c>
      <c r="B11" s="170" t="s">
        <v>178</v>
      </c>
      <c r="C11" s="173">
        <v>1.2E-2</v>
      </c>
      <c r="D11" s="172"/>
    </row>
    <row r="12" spans="1:7" ht="14.25" x14ac:dyDescent="0.2">
      <c r="A12" s="169" t="s">
        <v>179</v>
      </c>
      <c r="B12" s="170" t="s">
        <v>180</v>
      </c>
      <c r="C12" s="173">
        <v>2E-3</v>
      </c>
      <c r="D12" s="172"/>
    </row>
    <row r="13" spans="1:7" ht="14.25" x14ac:dyDescent="0.2">
      <c r="A13" s="169" t="s">
        <v>181</v>
      </c>
      <c r="B13" s="170" t="s">
        <v>182</v>
      </c>
      <c r="C13" s="173">
        <v>6.0000000000000001E-3</v>
      </c>
      <c r="D13" s="172"/>
    </row>
    <row r="14" spans="1:7" ht="14.25" x14ac:dyDescent="0.2">
      <c r="A14" s="169" t="s">
        <v>183</v>
      </c>
      <c r="B14" s="170" t="s">
        <v>184</v>
      </c>
      <c r="C14" s="173">
        <v>2.5000000000000001E-2</v>
      </c>
      <c r="D14" s="172"/>
    </row>
    <row r="15" spans="1:7" ht="14.25" x14ac:dyDescent="0.2">
      <c r="A15" s="169" t="s">
        <v>185</v>
      </c>
      <c r="B15" s="170" t="s">
        <v>186</v>
      </c>
      <c r="C15" s="173">
        <v>0.03</v>
      </c>
      <c r="D15" s="172"/>
    </row>
    <row r="16" spans="1:7" ht="14.25" x14ac:dyDescent="0.2">
      <c r="A16" s="169" t="s">
        <v>187</v>
      </c>
      <c r="B16" s="170" t="s">
        <v>188</v>
      </c>
      <c r="C16" s="173">
        <v>0.08</v>
      </c>
      <c r="D16" s="172"/>
    </row>
    <row r="17" spans="1:8" ht="15" x14ac:dyDescent="0.2">
      <c r="A17" s="169" t="s">
        <v>189</v>
      </c>
      <c r="B17" s="174" t="s">
        <v>190</v>
      </c>
      <c r="C17" s="175">
        <f>SUM(C9:C16)</f>
        <v>0.37000000000000005</v>
      </c>
      <c r="D17" s="172"/>
    </row>
    <row r="18" spans="1:8" ht="15" x14ac:dyDescent="0.2">
      <c r="A18" s="176"/>
      <c r="B18" s="177"/>
      <c r="C18" s="178"/>
      <c r="D18" s="172"/>
    </row>
    <row r="19" spans="1:8" ht="14.25" x14ac:dyDescent="0.2">
      <c r="A19" s="169" t="s">
        <v>191</v>
      </c>
      <c r="B19" s="179" t="s">
        <v>192</v>
      </c>
      <c r="C19" s="173">
        <v>8.3299999999999999E-2</v>
      </c>
      <c r="D19" s="172"/>
    </row>
    <row r="20" spans="1:8" ht="14.25" x14ac:dyDescent="0.2">
      <c r="A20" s="169" t="s">
        <v>193</v>
      </c>
      <c r="B20" s="179" t="s">
        <v>194</v>
      </c>
      <c r="C20" s="173">
        <f>ROUND('3.CAGED'!C32/'3.CAGED'!C29,4)</f>
        <v>8.3299999999999999E-2</v>
      </c>
      <c r="D20" s="172"/>
    </row>
    <row r="21" spans="1:8" ht="14.25" x14ac:dyDescent="0.2">
      <c r="A21" s="169" t="s">
        <v>195</v>
      </c>
      <c r="B21" s="179" t="s">
        <v>196</v>
      </c>
      <c r="C21" s="173">
        <v>1.2E-2</v>
      </c>
      <c r="D21" s="172"/>
    </row>
    <row r="22" spans="1:8" ht="14.25" x14ac:dyDescent="0.2">
      <c r="A22" s="169" t="s">
        <v>197</v>
      </c>
      <c r="B22" s="179" t="s">
        <v>198</v>
      </c>
      <c r="C22" s="173">
        <v>1.2699999999999999E-2</v>
      </c>
      <c r="D22" s="172"/>
    </row>
    <row r="23" spans="1:8" ht="14.25" x14ac:dyDescent="0.2">
      <c r="A23" s="169" t="s">
        <v>199</v>
      </c>
      <c r="B23" s="179" t="s">
        <v>200</v>
      </c>
      <c r="C23" s="173">
        <v>4.4999999999999997E-3</v>
      </c>
      <c r="D23" s="172"/>
    </row>
    <row r="24" spans="1:8" ht="15" x14ac:dyDescent="0.2">
      <c r="A24" s="169" t="s">
        <v>201</v>
      </c>
      <c r="B24" s="174" t="s">
        <v>202</v>
      </c>
      <c r="C24" s="175">
        <f>SUM(C19:C23)</f>
        <v>0.1958</v>
      </c>
      <c r="D24" s="180"/>
    </row>
    <row r="25" spans="1:8" ht="15" x14ac:dyDescent="0.2">
      <c r="A25" s="176"/>
      <c r="B25" s="177"/>
      <c r="C25" s="178"/>
      <c r="D25" s="180"/>
    </row>
    <row r="26" spans="1:8" ht="14.25" x14ac:dyDescent="0.2">
      <c r="A26" s="169" t="s">
        <v>203</v>
      </c>
      <c r="B26" s="170" t="s">
        <v>204</v>
      </c>
      <c r="C26" s="173">
        <v>6.0000000000000001E-3</v>
      </c>
      <c r="D26" s="172"/>
      <c r="E26" s="181"/>
    </row>
    <row r="27" spans="1:8" ht="14.25" x14ac:dyDescent="0.2">
      <c r="A27" s="169" t="s">
        <v>205</v>
      </c>
      <c r="B27" s="170" t="s">
        <v>206</v>
      </c>
      <c r="C27" s="173">
        <v>2.7699999999999999E-2</v>
      </c>
      <c r="D27" s="172"/>
      <c r="H27" s="182"/>
    </row>
    <row r="28" spans="1:8" ht="14.25" x14ac:dyDescent="0.2">
      <c r="A28" s="169" t="s">
        <v>207</v>
      </c>
      <c r="B28" s="170" t="s">
        <v>208</v>
      </c>
      <c r="C28" s="173">
        <v>2.1700000000000001E-2</v>
      </c>
      <c r="D28" s="172"/>
      <c r="E28" s="181"/>
    </row>
    <row r="29" spans="1:8" ht="14.25" x14ac:dyDescent="0.2">
      <c r="A29" s="169" t="s">
        <v>209</v>
      </c>
      <c r="B29" s="170" t="s">
        <v>210</v>
      </c>
      <c r="C29" s="173">
        <v>3.0700000000000002E-2</v>
      </c>
      <c r="D29" s="172"/>
      <c r="G29" s="181"/>
    </row>
    <row r="30" spans="1:8" ht="14.25" x14ac:dyDescent="0.2">
      <c r="A30" s="169" t="s">
        <v>211</v>
      </c>
      <c r="B30" s="170" t="s">
        <v>212</v>
      </c>
      <c r="C30" s="173">
        <v>1.4200000000000001E-2</v>
      </c>
      <c r="D30" s="172"/>
    </row>
    <row r="31" spans="1:8" ht="15" x14ac:dyDescent="0.2">
      <c r="A31" s="169" t="s">
        <v>213</v>
      </c>
      <c r="B31" s="174" t="s">
        <v>214</v>
      </c>
      <c r="C31" s="175">
        <f>SUM(C26:C30)</f>
        <v>0.10030000000000001</v>
      </c>
      <c r="D31" s="180"/>
    </row>
    <row r="32" spans="1:8" ht="15" x14ac:dyDescent="0.2">
      <c r="A32" s="176"/>
      <c r="B32" s="177"/>
      <c r="C32" s="178"/>
      <c r="D32" s="180"/>
    </row>
    <row r="33" spans="1:4" ht="14.25" x14ac:dyDescent="0.2">
      <c r="A33" s="169" t="s">
        <v>215</v>
      </c>
      <c r="B33" s="170" t="s">
        <v>216</v>
      </c>
      <c r="C33" s="173">
        <f>ROUND(C17*C24,4)</f>
        <v>7.2400000000000006E-2</v>
      </c>
      <c r="D33" s="172"/>
    </row>
    <row r="34" spans="1:4" ht="28.5" x14ac:dyDescent="0.2">
      <c r="A34" s="169" t="s">
        <v>217</v>
      </c>
      <c r="B34" s="183" t="s">
        <v>218</v>
      </c>
      <c r="C34" s="173">
        <f>ROUND((C26*C16),4)</f>
        <v>5.0000000000000001E-4</v>
      </c>
      <c r="D34" s="172"/>
    </row>
    <row r="35" spans="1:4" ht="15" x14ac:dyDescent="0.2">
      <c r="A35" s="169" t="s">
        <v>219</v>
      </c>
      <c r="B35" s="174" t="s">
        <v>220</v>
      </c>
      <c r="C35" s="175">
        <f>SUM(C33:C34)</f>
        <v>7.2900000000000006E-2</v>
      </c>
      <c r="D35" s="180"/>
    </row>
    <row r="36" spans="1:4" ht="15" x14ac:dyDescent="0.2">
      <c r="A36" s="184"/>
      <c r="B36" s="185" t="s">
        <v>221</v>
      </c>
      <c r="C36" s="186">
        <f>C35+C31+C24+C17</f>
        <v>0.7390000000000001</v>
      </c>
      <c r="D36" s="180"/>
    </row>
    <row r="37" spans="1:4" ht="15" x14ac:dyDescent="0.2">
      <c r="A37" s="172"/>
      <c r="B37" s="187"/>
      <c r="C37" s="188"/>
      <c r="D37" s="189"/>
    </row>
    <row r="38" spans="1:4" ht="14.25" x14ac:dyDescent="0.2">
      <c r="A38" s="172"/>
      <c r="B38" s="172"/>
      <c r="C38" s="190"/>
      <c r="D38" s="191"/>
    </row>
    <row r="39" spans="1:4" ht="14.25" x14ac:dyDescent="0.2">
      <c r="A39" s="172"/>
      <c r="B39" s="172"/>
      <c r="C39" s="190"/>
      <c r="D39" s="172"/>
    </row>
    <row r="40" spans="1:4" ht="14.25" x14ac:dyDescent="0.2">
      <c r="A40" s="172"/>
      <c r="B40" s="172"/>
      <c r="C40" s="190"/>
      <c r="D40" s="172"/>
    </row>
    <row r="41" spans="1:4" ht="14.25" x14ac:dyDescent="0.2">
      <c r="A41" s="172"/>
      <c r="B41" s="172"/>
      <c r="C41" s="190"/>
      <c r="D41" s="172"/>
    </row>
    <row r="42" spans="1:4" ht="15" x14ac:dyDescent="0.2">
      <c r="A42" s="172"/>
      <c r="B42" s="187"/>
      <c r="C42" s="188"/>
      <c r="D42" s="172"/>
    </row>
    <row r="43" spans="1:4" ht="15" x14ac:dyDescent="0.2">
      <c r="A43" s="180"/>
      <c r="B43" s="187"/>
      <c r="C43" s="188"/>
      <c r="D43" s="180"/>
    </row>
    <row r="44" spans="1:4" ht="16.5" x14ac:dyDescent="0.2">
      <c r="A44" s="192"/>
    </row>
    <row r="45" spans="1:4" x14ac:dyDescent="0.2">
      <c r="A45" s="193"/>
      <c r="B45" s="194"/>
      <c r="C45" s="194"/>
    </row>
    <row r="46" spans="1:4" ht="14.25" x14ac:dyDescent="0.2">
      <c r="A46" s="172"/>
      <c r="B46" s="195"/>
      <c r="C46" s="194"/>
    </row>
    <row r="47" spans="1:4" ht="14.25" x14ac:dyDescent="0.2">
      <c r="A47" s="172"/>
      <c r="B47" s="195"/>
      <c r="C47" s="172"/>
    </row>
    <row r="48" spans="1:4" ht="14.25" x14ac:dyDescent="0.2">
      <c r="A48" s="172"/>
      <c r="B48" s="190"/>
      <c r="C48" s="194"/>
    </row>
    <row r="49" spans="1:3" ht="14.25" x14ac:dyDescent="0.2">
      <c r="A49" s="172"/>
      <c r="B49" s="195"/>
      <c r="C49" s="172"/>
    </row>
    <row r="50" spans="1:3" ht="14.25" x14ac:dyDescent="0.2">
      <c r="A50" s="172"/>
      <c r="B50" s="190"/>
      <c r="C50" s="194"/>
    </row>
    <row r="51" spans="1:3" ht="14.25" x14ac:dyDescent="0.2">
      <c r="A51" s="172"/>
      <c r="B51" s="195"/>
      <c r="C51" s="172"/>
    </row>
    <row r="52" spans="1:3" ht="14.25" x14ac:dyDescent="0.2">
      <c r="A52" s="172"/>
      <c r="B52" s="190"/>
      <c r="C52" s="194"/>
    </row>
    <row r="53" spans="1:3" ht="14.25" x14ac:dyDescent="0.2">
      <c r="A53" s="172"/>
      <c r="B53" s="195"/>
      <c r="C53" s="172"/>
    </row>
    <row r="54" spans="1:3" ht="14.25" x14ac:dyDescent="0.2">
      <c r="A54" s="172"/>
      <c r="B54" s="190"/>
      <c r="C54" s="194"/>
    </row>
    <row r="55" spans="1:3" ht="16.5" x14ac:dyDescent="0.2">
      <c r="A55" s="192"/>
    </row>
    <row r="58" spans="1:3" x14ac:dyDescent="0.2">
      <c r="A58" s="120"/>
    </row>
  </sheetData>
  <mergeCells count="1">
    <mergeCell ref="A7:C7"/>
  </mergeCells>
  <pageMargins left="0.905555555555556" right="0.51180555555555596" top="0.74791666666666701" bottom="0.74791666666666701" header="0.511811023622047" footer="0.511811023622047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view="pageBreakPreview" zoomScaleNormal="100" workbookViewId="0">
      <selection activeCell="H20" sqref="H20"/>
    </sheetView>
  </sheetViews>
  <sheetFormatPr defaultColWidth="9.140625" defaultRowHeight="12.75" customHeight="1" x14ac:dyDescent="0.2"/>
  <cols>
    <col min="1" max="1" width="8.5703125" style="61" customWidth="1"/>
    <col min="2" max="2" width="67.140625" style="61" customWidth="1"/>
    <col min="3" max="3" width="13.7109375" style="61" customWidth="1"/>
    <col min="4" max="4" width="10.28515625" style="61" customWidth="1"/>
    <col min="5" max="5" width="13.7109375" style="61" customWidth="1"/>
    <col min="6" max="16384" width="9.140625" style="61"/>
  </cols>
  <sheetData>
    <row r="1" spans="1:3" x14ac:dyDescent="0.2">
      <c r="A1" s="196" t="s">
        <v>222</v>
      </c>
    </row>
    <row r="3" spans="1:3" x14ac:dyDescent="0.2">
      <c r="A3" s="197" t="s">
        <v>223</v>
      </c>
    </row>
    <row r="5" spans="1:3" x14ac:dyDescent="0.2">
      <c r="A5" s="197" t="s">
        <v>224</v>
      </c>
    </row>
    <row r="7" spans="1:3" ht="18" x14ac:dyDescent="0.25">
      <c r="B7" s="298" t="s">
        <v>225</v>
      </c>
      <c r="C7" s="298"/>
    </row>
    <row r="8" spans="1:3" ht="15" x14ac:dyDescent="0.25">
      <c r="B8" s="198" t="s">
        <v>226</v>
      </c>
      <c r="C8" s="199"/>
    </row>
    <row r="9" spans="1:3" ht="15" x14ac:dyDescent="0.25">
      <c r="B9" s="200" t="s">
        <v>227</v>
      </c>
      <c r="C9" s="201">
        <v>2100</v>
      </c>
    </row>
    <row r="10" spans="1:3" ht="15" x14ac:dyDescent="0.25">
      <c r="B10" s="202" t="s">
        <v>228</v>
      </c>
      <c r="C10" s="201">
        <v>2031</v>
      </c>
    </row>
    <row r="11" spans="1:3" ht="14.25" x14ac:dyDescent="0.2">
      <c r="B11" s="203" t="s">
        <v>229</v>
      </c>
      <c r="C11" s="204">
        <v>44</v>
      </c>
    </row>
    <row r="12" spans="1:3" ht="14.25" x14ac:dyDescent="0.2">
      <c r="B12" s="203" t="s">
        <v>230</v>
      </c>
      <c r="C12" s="204">
        <v>1192</v>
      </c>
    </row>
    <row r="13" spans="1:3" ht="14.25" x14ac:dyDescent="0.2">
      <c r="B13" s="203" t="s">
        <v>231</v>
      </c>
      <c r="C13" s="204">
        <v>372</v>
      </c>
    </row>
    <row r="14" spans="1:3" ht="14.25" x14ac:dyDescent="0.2">
      <c r="B14" s="203" t="s">
        <v>232</v>
      </c>
      <c r="C14" s="204">
        <v>22</v>
      </c>
    </row>
    <row r="15" spans="1:3" ht="14.25" x14ac:dyDescent="0.2">
      <c r="B15" s="203" t="s">
        <v>233</v>
      </c>
      <c r="C15" s="204">
        <v>350</v>
      </c>
    </row>
    <row r="16" spans="1:3" ht="14.25" x14ac:dyDescent="0.2">
      <c r="B16" s="203" t="s">
        <v>234</v>
      </c>
      <c r="C16" s="204">
        <v>1</v>
      </c>
    </row>
    <row r="17" spans="1:5" ht="14.25" x14ac:dyDescent="0.2">
      <c r="B17" s="203" t="s">
        <v>235</v>
      </c>
      <c r="C17" s="204">
        <v>30</v>
      </c>
    </row>
    <row r="18" spans="1:5" ht="14.25" x14ac:dyDescent="0.2">
      <c r="B18" s="205" t="s">
        <v>236</v>
      </c>
      <c r="C18" s="206">
        <v>0</v>
      </c>
    </row>
    <row r="19" spans="1:5" ht="14.25" x14ac:dyDescent="0.2">
      <c r="B19" s="207" t="s">
        <v>237</v>
      </c>
      <c r="C19" s="206">
        <v>0</v>
      </c>
    </row>
    <row r="20" spans="1:5" ht="15" x14ac:dyDescent="0.25">
      <c r="A20" s="61" t="s">
        <v>238</v>
      </c>
      <c r="B20" s="198" t="s">
        <v>239</v>
      </c>
      <c r="C20" s="199"/>
    </row>
    <row r="21" spans="1:5" ht="14.25" x14ac:dyDescent="0.2">
      <c r="B21" s="208" t="s">
        <v>240</v>
      </c>
      <c r="C21" s="209">
        <v>4625</v>
      </c>
    </row>
    <row r="22" spans="1:5" ht="14.25" x14ac:dyDescent="0.2">
      <c r="B22" s="203" t="s">
        <v>241</v>
      </c>
      <c r="C22" s="204">
        <v>4694</v>
      </c>
    </row>
    <row r="23" spans="1:5" ht="14.25" x14ac:dyDescent="0.2">
      <c r="B23" s="203" t="s">
        <v>242</v>
      </c>
      <c r="C23" s="210">
        <f>C9-C10</f>
        <v>69</v>
      </c>
    </row>
    <row r="24" spans="1:5" ht="14.25" x14ac:dyDescent="0.2">
      <c r="B24" s="211"/>
      <c r="C24" s="212"/>
    </row>
    <row r="25" spans="1:5" ht="15" x14ac:dyDescent="0.25">
      <c r="A25" s="196"/>
      <c r="B25" s="200" t="s">
        <v>243</v>
      </c>
      <c r="C25" s="213">
        <f>MEDIAN(C21,C22)</f>
        <v>4659.5</v>
      </c>
      <c r="D25" s="196"/>
      <c r="E25" s="196"/>
    </row>
    <row r="26" spans="1:5" ht="15" x14ac:dyDescent="0.25">
      <c r="B26" s="202" t="s">
        <v>244</v>
      </c>
      <c r="C26" s="214">
        <f>C12/C25</f>
        <v>0.25582144006867691</v>
      </c>
    </row>
    <row r="27" spans="1:5" ht="15" x14ac:dyDescent="0.25">
      <c r="B27" s="202" t="s">
        <v>245</v>
      </c>
      <c r="C27" s="214">
        <f>MEDIAN(C9,C10)/C25</f>
        <v>0.44328790642772831</v>
      </c>
    </row>
    <row r="28" spans="1:5" ht="15" x14ac:dyDescent="0.25">
      <c r="A28" s="196"/>
      <c r="B28" s="202" t="s">
        <v>246</v>
      </c>
      <c r="C28" s="215">
        <f>12/C27</f>
        <v>27.070442992011618</v>
      </c>
      <c r="D28" s="196"/>
      <c r="E28" s="196"/>
    </row>
    <row r="29" spans="1:5" ht="15" x14ac:dyDescent="0.25">
      <c r="B29" s="202" t="s">
        <v>247</v>
      </c>
      <c r="C29" s="216">
        <v>360</v>
      </c>
    </row>
    <row r="30" spans="1:5" ht="15" x14ac:dyDescent="0.25">
      <c r="B30" s="202" t="s">
        <v>248</v>
      </c>
      <c r="C30" s="216">
        <v>10</v>
      </c>
    </row>
    <row r="31" spans="1:5" ht="15" x14ac:dyDescent="0.25">
      <c r="B31" s="200" t="s">
        <v>249</v>
      </c>
      <c r="C31" s="217">
        <v>30</v>
      </c>
    </row>
    <row r="32" spans="1:5" ht="15" x14ac:dyDescent="0.25">
      <c r="B32" s="200" t="s">
        <v>250</v>
      </c>
      <c r="C32" s="217">
        <v>30</v>
      </c>
    </row>
    <row r="33" spans="1:5" ht="15" x14ac:dyDescent="0.25">
      <c r="A33" s="196"/>
      <c r="B33" s="200" t="s">
        <v>251</v>
      </c>
      <c r="C33" s="217">
        <f>30+(3*TRUNC(1/C27))</f>
        <v>36</v>
      </c>
      <c r="D33" s="196"/>
      <c r="E33" s="196"/>
    </row>
    <row r="34" spans="1:5" ht="15" x14ac:dyDescent="0.25">
      <c r="A34" s="196"/>
      <c r="B34" s="202" t="s">
        <v>188</v>
      </c>
      <c r="C34" s="218">
        <v>0.08</v>
      </c>
      <c r="D34" s="196"/>
      <c r="E34" s="196"/>
    </row>
    <row r="35" spans="1:5" ht="15" x14ac:dyDescent="0.25">
      <c r="A35" s="196"/>
      <c r="B35" s="219" t="s">
        <v>252</v>
      </c>
      <c r="C35" s="220">
        <v>0.4</v>
      </c>
      <c r="D35" s="196" t="s">
        <v>253</v>
      </c>
      <c r="E35" s="196"/>
    </row>
  </sheetData>
  <mergeCells count="1">
    <mergeCell ref="B7:C7"/>
  </mergeCells>
  <pageMargins left="0.905555555555556" right="0.51180555555555596" top="0.74791666666666701" bottom="0.74791666666666701" header="0.511811023622047" footer="0.511811023622047"/>
  <pageSetup paperSize="9" scale="9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8"/>
  <sheetViews>
    <sheetView view="pageBreakPreview" zoomScaleNormal="100" workbookViewId="0">
      <selection activeCell="A8" sqref="A8"/>
    </sheetView>
  </sheetViews>
  <sheetFormatPr defaultColWidth="8.5703125" defaultRowHeight="12.75" customHeight="1" x14ac:dyDescent="0.2"/>
  <cols>
    <col min="1" max="1" width="41.85546875" style="1" customWidth="1"/>
    <col min="2" max="2" width="5.5703125" style="1" customWidth="1"/>
    <col min="4" max="4" width="9.7109375" style="1" customWidth="1"/>
    <col min="5" max="5" width="8" style="2" customWidth="1"/>
    <col min="6" max="6" width="9.7109375" style="1" customWidth="1"/>
    <col min="8" max="8" width="10.85546875" style="1" customWidth="1"/>
    <col min="9" max="9" width="10.28515625" style="1" customWidth="1"/>
  </cols>
  <sheetData>
    <row r="1" spans="1:9" x14ac:dyDescent="0.2">
      <c r="A1" s="14"/>
      <c r="B1" s="16"/>
      <c r="C1" s="16"/>
      <c r="D1" s="15"/>
      <c r="E1" s="15"/>
      <c r="F1" s="15"/>
    </row>
    <row r="2" spans="1:9" ht="12.75" customHeight="1" x14ac:dyDescent="0.2">
      <c r="A2" s="291" t="s">
        <v>311</v>
      </c>
      <c r="B2" s="291"/>
      <c r="C2" s="291"/>
      <c r="D2" s="291"/>
      <c r="E2" s="291"/>
      <c r="F2" s="291"/>
    </row>
    <row r="3" spans="1:9" x14ac:dyDescent="0.2">
      <c r="A3" s="291"/>
      <c r="B3" s="291"/>
      <c r="C3" s="291"/>
      <c r="D3" s="291"/>
      <c r="E3" s="291"/>
      <c r="F3" s="291"/>
    </row>
    <row r="4" spans="1:9" s="221" customFormat="1" ht="15" customHeight="1" x14ac:dyDescent="0.2">
      <c r="A4" s="291"/>
      <c r="B4" s="291"/>
      <c r="C4" s="291"/>
      <c r="D4" s="291"/>
      <c r="E4" s="291"/>
      <c r="F4" s="291"/>
    </row>
    <row r="5" spans="1:9" s="221" customFormat="1" ht="14.25" x14ac:dyDescent="0.2">
      <c r="A5" s="14"/>
      <c r="B5" s="16"/>
      <c r="C5" s="16"/>
      <c r="D5" s="15"/>
      <c r="E5" s="15"/>
      <c r="F5" s="15"/>
    </row>
    <row r="6" spans="1:9" ht="15.75" x14ac:dyDescent="0.2">
      <c r="A6" s="299" t="s">
        <v>254</v>
      </c>
      <c r="B6" s="299"/>
      <c r="C6" s="299"/>
      <c r="D6" s="299"/>
      <c r="E6" s="299"/>
      <c r="F6" s="299"/>
      <c r="G6" s="221"/>
      <c r="H6" s="221"/>
      <c r="I6" s="221"/>
    </row>
    <row r="7" spans="1:9" ht="14.25" x14ac:dyDescent="0.2">
      <c r="A7" s="300" t="s">
        <v>312</v>
      </c>
      <c r="B7" s="300"/>
      <c r="C7" s="300"/>
      <c r="D7" s="300"/>
      <c r="E7" s="300"/>
      <c r="F7" s="300"/>
      <c r="G7" s="221"/>
      <c r="H7" s="221"/>
      <c r="I7" s="221"/>
    </row>
    <row r="8" spans="1:9" ht="14.25" x14ac:dyDescent="0.2">
      <c r="A8" s="221"/>
      <c r="B8" s="36"/>
      <c r="C8" s="36"/>
      <c r="D8" s="221"/>
      <c r="E8" s="222"/>
      <c r="F8" s="221"/>
      <c r="G8" s="221"/>
      <c r="H8" s="221"/>
    </row>
    <row r="9" spans="1:9" ht="15.75" x14ac:dyDescent="0.2">
      <c r="A9" s="301" t="s">
        <v>255</v>
      </c>
      <c r="B9" s="301"/>
      <c r="C9" s="301"/>
      <c r="D9" s="301"/>
      <c r="E9" s="301"/>
      <c r="F9" s="301"/>
      <c r="G9" s="221"/>
      <c r="H9" s="221"/>
    </row>
    <row r="10" spans="1:9" ht="15.75" x14ac:dyDescent="0.2">
      <c r="A10" s="223"/>
      <c r="B10" s="224"/>
      <c r="C10" s="224"/>
      <c r="D10" s="224"/>
      <c r="E10" s="224"/>
      <c r="F10" s="225"/>
      <c r="G10" s="221"/>
      <c r="H10" s="221"/>
    </row>
    <row r="11" spans="1:9" ht="15" x14ac:dyDescent="0.25">
      <c r="A11" s="226"/>
      <c r="B11" s="36"/>
      <c r="C11" s="36"/>
      <c r="D11" s="302" t="s">
        <v>256</v>
      </c>
      <c r="E11" s="302"/>
      <c r="F11" s="302"/>
      <c r="G11" s="221"/>
      <c r="H11" s="221"/>
    </row>
    <row r="12" spans="1:9" ht="14.25" x14ac:dyDescent="0.2">
      <c r="A12" s="211"/>
      <c r="B12" s="221"/>
      <c r="C12" s="221"/>
      <c r="D12" s="227" t="s">
        <v>257</v>
      </c>
      <c r="E12" s="228" t="s">
        <v>258</v>
      </c>
      <c r="F12" s="229" t="s">
        <v>259</v>
      </c>
      <c r="G12" s="221"/>
      <c r="H12" s="221"/>
    </row>
    <row r="13" spans="1:9" ht="14.25" x14ac:dyDescent="0.2">
      <c r="A13" s="230" t="s">
        <v>260</v>
      </c>
      <c r="B13" s="231" t="s">
        <v>261</v>
      </c>
      <c r="C13" s="232">
        <v>6.2700000000000006E-2</v>
      </c>
      <c r="D13" s="233">
        <v>2.9700000000000001E-2</v>
      </c>
      <c r="E13" s="234">
        <v>5.0799999999999998E-2</v>
      </c>
      <c r="F13" s="235">
        <v>6.2700000000000006E-2</v>
      </c>
      <c r="G13" s="221"/>
      <c r="H13" s="221"/>
    </row>
    <row r="14" spans="1:9" ht="14.25" x14ac:dyDescent="0.2">
      <c r="A14" s="236" t="s">
        <v>262</v>
      </c>
      <c r="B14" s="237" t="s">
        <v>263</v>
      </c>
      <c r="C14" s="238">
        <v>1.7100000000000001E-2</v>
      </c>
      <c r="D14" s="233">
        <f>0.3%+0.56%</f>
        <v>8.6E-3</v>
      </c>
      <c r="E14" s="234">
        <f>0.48%+0.85%</f>
        <v>1.3299999999999999E-2</v>
      </c>
      <c r="F14" s="235">
        <f>0.82%+0.89%</f>
        <v>1.7099999999999997E-2</v>
      </c>
      <c r="G14" s="221"/>
      <c r="H14" s="221"/>
    </row>
    <row r="15" spans="1:9" ht="14.25" x14ac:dyDescent="0.2">
      <c r="A15" s="236" t="s">
        <v>264</v>
      </c>
      <c r="B15" s="237" t="s">
        <v>265</v>
      </c>
      <c r="C15" s="238">
        <v>0.13550000000000001</v>
      </c>
      <c r="D15" s="233">
        <v>7.7799999999999994E-2</v>
      </c>
      <c r="E15" s="234">
        <v>0.1085</v>
      </c>
      <c r="F15" s="235">
        <v>0.13550000000000001</v>
      </c>
      <c r="G15" s="221"/>
      <c r="H15" s="221"/>
    </row>
    <row r="16" spans="1:9" ht="14.25" x14ac:dyDescent="0.2">
      <c r="A16" s="236" t="s">
        <v>266</v>
      </c>
      <c r="B16" s="237" t="s">
        <v>267</v>
      </c>
      <c r="C16" s="239">
        <f>(1+E16)^(E17/252)-1</f>
        <v>1.3818446489055614E-2</v>
      </c>
      <c r="D16" s="233" t="s">
        <v>268</v>
      </c>
      <c r="E16" s="240">
        <v>0.155</v>
      </c>
      <c r="F16" s="241"/>
      <c r="G16" s="221"/>
      <c r="H16" s="221"/>
    </row>
    <row r="17" spans="1:9" ht="14.25" x14ac:dyDescent="0.2">
      <c r="A17" s="236" t="s">
        <v>269</v>
      </c>
      <c r="B17" s="304" t="s">
        <v>270</v>
      </c>
      <c r="C17" s="238">
        <v>0.03</v>
      </c>
      <c r="D17" s="242" t="s">
        <v>271</v>
      </c>
      <c r="E17" s="243">
        <v>24</v>
      </c>
      <c r="F17" s="210"/>
      <c r="G17" s="221"/>
      <c r="H17" s="221"/>
    </row>
    <row r="18" spans="1:9" ht="14.25" x14ac:dyDescent="0.2">
      <c r="A18" s="244" t="s">
        <v>272</v>
      </c>
      <c r="B18" s="304"/>
      <c r="C18" s="245">
        <v>3.6499999999999998E-2</v>
      </c>
      <c r="D18" s="203"/>
      <c r="E18" s="246"/>
      <c r="F18" s="210"/>
    </row>
    <row r="19" spans="1:9" ht="14.25" x14ac:dyDescent="0.2">
      <c r="A19" s="247" t="s">
        <v>273</v>
      </c>
      <c r="B19" s="248"/>
      <c r="C19" s="249"/>
      <c r="D19" s="203"/>
      <c r="E19" s="246"/>
      <c r="F19" s="210"/>
    </row>
    <row r="20" spans="1:9" ht="14.25" x14ac:dyDescent="0.2">
      <c r="A20" s="250" t="s">
        <v>274</v>
      </c>
      <c r="B20" s="251"/>
      <c r="C20" s="252"/>
      <c r="D20" s="203"/>
      <c r="E20" s="246"/>
      <c r="F20" s="210"/>
    </row>
    <row r="21" spans="1:9" ht="15" x14ac:dyDescent="0.2">
      <c r="A21" s="253" t="s">
        <v>275</v>
      </c>
      <c r="B21" s="254"/>
      <c r="C21" s="255">
        <f>ROUND((((1+C13+C14)*(1+C15)*(1+C16))/(1-(C17+C18))-1),4)</f>
        <v>0.33160000000000001</v>
      </c>
      <c r="D21" s="256">
        <v>0.21429999999999999</v>
      </c>
      <c r="E21" s="257">
        <v>0.2717</v>
      </c>
      <c r="F21" s="258">
        <v>0.3362</v>
      </c>
      <c r="I21" s="259"/>
    </row>
    <row r="22" spans="1:9" ht="14.25" x14ac:dyDescent="0.2">
      <c r="A22" s="221"/>
      <c r="B22" s="221"/>
      <c r="C22" s="221"/>
      <c r="D22" s="221"/>
      <c r="E22" s="222"/>
      <c r="F22" s="221"/>
      <c r="I22" s="260"/>
    </row>
    <row r="23" spans="1:9" ht="14.25" x14ac:dyDescent="0.2">
      <c r="A23" s="221"/>
      <c r="B23" s="221"/>
      <c r="C23" s="221"/>
      <c r="D23" s="221"/>
      <c r="E23" s="222"/>
      <c r="F23" s="221"/>
    </row>
    <row r="24" spans="1:9" ht="15" x14ac:dyDescent="0.25">
      <c r="A24" s="160"/>
      <c r="B24" s="14"/>
      <c r="C24" s="161"/>
      <c r="D24" s="161"/>
      <c r="E24" s="161"/>
      <c r="F24" s="161"/>
    </row>
    <row r="25" spans="1:9" ht="15" x14ac:dyDescent="0.25">
      <c r="A25" s="161"/>
      <c r="B25" s="160"/>
      <c r="C25" s="161"/>
      <c r="D25" s="161"/>
      <c r="E25" s="161"/>
      <c r="F25" s="162"/>
    </row>
    <row r="26" spans="1:9" ht="15" x14ac:dyDescent="0.25">
      <c r="A26" s="161"/>
      <c r="B26" s="160"/>
      <c r="C26" s="161"/>
      <c r="D26" s="161"/>
      <c r="E26" s="161"/>
      <c r="F26" s="161"/>
    </row>
    <row r="27" spans="1:9" ht="15" x14ac:dyDescent="0.25">
      <c r="A27" s="161"/>
      <c r="B27" s="160"/>
      <c r="C27" s="161"/>
      <c r="D27" s="161"/>
      <c r="E27" s="161"/>
      <c r="F27" s="161"/>
    </row>
    <row r="28" spans="1:9" ht="15" x14ac:dyDescent="0.25">
      <c r="A28" s="305"/>
      <c r="B28" s="305"/>
      <c r="C28" s="305"/>
      <c r="D28" s="305"/>
      <c r="E28" s="305"/>
      <c r="F28" s="305"/>
    </row>
    <row r="29" spans="1:9" ht="15" x14ac:dyDescent="0.2">
      <c r="A29" s="303"/>
      <c r="B29" s="303"/>
      <c r="C29" s="303"/>
      <c r="D29" s="303"/>
      <c r="E29" s="303"/>
      <c r="F29" s="303"/>
    </row>
    <row r="30" spans="1:9" ht="15" x14ac:dyDescent="0.2">
      <c r="A30" s="303"/>
      <c r="B30" s="303"/>
      <c r="C30" s="303"/>
      <c r="D30" s="303"/>
      <c r="E30" s="303"/>
      <c r="F30" s="303"/>
    </row>
    <row r="31" spans="1:9" ht="15" x14ac:dyDescent="0.25">
      <c r="A31" s="161"/>
      <c r="B31" s="160"/>
      <c r="C31" s="161"/>
      <c r="D31" s="161"/>
      <c r="E31" s="161"/>
      <c r="F31" s="161"/>
    </row>
    <row r="32" spans="1:9" ht="15" x14ac:dyDescent="0.25">
      <c r="A32" s="161"/>
      <c r="B32" s="160"/>
      <c r="C32" s="161"/>
      <c r="D32" s="161"/>
      <c r="E32" s="161"/>
      <c r="F32" s="161"/>
    </row>
    <row r="33" spans="1:6" ht="15" x14ac:dyDescent="0.25">
      <c r="A33" s="161"/>
      <c r="B33" s="160"/>
      <c r="C33" s="161"/>
      <c r="D33" s="161"/>
      <c r="E33" s="161"/>
      <c r="F33" s="161"/>
    </row>
    <row r="34" spans="1:6" ht="15" x14ac:dyDescent="0.25">
      <c r="A34" s="305"/>
      <c r="B34" s="305"/>
      <c r="C34" s="305"/>
      <c r="D34" s="305"/>
      <c r="E34" s="305"/>
      <c r="F34" s="305"/>
    </row>
    <row r="35" spans="1:6" ht="15" x14ac:dyDescent="0.2">
      <c r="A35" s="303"/>
      <c r="B35" s="303"/>
      <c r="C35" s="303"/>
      <c r="D35" s="303"/>
      <c r="E35" s="303"/>
      <c r="F35" s="303"/>
    </row>
    <row r="36" spans="1:6" ht="15" x14ac:dyDescent="0.2">
      <c r="A36" s="303"/>
      <c r="B36" s="303"/>
      <c r="C36" s="303"/>
      <c r="D36" s="303"/>
      <c r="E36" s="303"/>
      <c r="F36" s="303"/>
    </row>
    <row r="37" spans="1:6" ht="14.25" x14ac:dyDescent="0.2">
      <c r="A37" s="221"/>
      <c r="B37" s="221"/>
      <c r="C37" s="221"/>
      <c r="D37" s="221"/>
      <c r="E37" s="222"/>
      <c r="F37" s="221"/>
    </row>
    <row r="38" spans="1:6" ht="14.25" x14ac:dyDescent="0.2">
      <c r="A38" s="221"/>
      <c r="B38" s="221"/>
      <c r="C38" s="221"/>
      <c r="D38" s="221"/>
      <c r="E38" s="222"/>
      <c r="F38" s="221"/>
    </row>
  </sheetData>
  <mergeCells count="12">
    <mergeCell ref="A35:F35"/>
    <mergeCell ref="A36:F36"/>
    <mergeCell ref="B17:B18"/>
    <mergeCell ref="A28:F28"/>
    <mergeCell ref="A29:F29"/>
    <mergeCell ref="A30:F30"/>
    <mergeCell ref="A34:F34"/>
    <mergeCell ref="A2:F4"/>
    <mergeCell ref="A6:F6"/>
    <mergeCell ref="A7:F7"/>
    <mergeCell ref="A9:F9"/>
    <mergeCell ref="D11:F11"/>
  </mergeCells>
  <pageMargins left="0.905555555555556" right="0.51180555555555596" top="0.74791666666666701" bottom="0.74791666666666701" header="0.511811023622047" footer="0.511811023622047"/>
  <pageSetup paperSize="9" orientation="portrait" horizontalDpi="300" verticalDpi="30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view="pageBreakPreview" zoomScaleNormal="100" workbookViewId="0">
      <selection sqref="A1:B1"/>
    </sheetView>
  </sheetViews>
  <sheetFormatPr defaultColWidth="9.140625" defaultRowHeight="12.75" customHeight="1" x14ac:dyDescent="0.2"/>
  <cols>
    <col min="1" max="1" width="24.5703125" style="61" customWidth="1"/>
    <col min="2" max="2" width="20.85546875" style="61" customWidth="1"/>
    <col min="3" max="16384" width="9.140625" style="61"/>
  </cols>
  <sheetData>
    <row r="1" spans="1:2" ht="19.5" customHeight="1" x14ac:dyDescent="0.2">
      <c r="A1" s="306" t="s">
        <v>276</v>
      </c>
      <c r="B1" s="306"/>
    </row>
    <row r="2" spans="1:2" s="196" customFormat="1" ht="19.5" customHeight="1" x14ac:dyDescent="0.2">
      <c r="A2" s="261" t="s">
        <v>277</v>
      </c>
      <c r="B2" s="262" t="s">
        <v>278</v>
      </c>
    </row>
    <row r="3" spans="1:2" ht="19.5" customHeight="1" x14ac:dyDescent="0.2">
      <c r="A3" s="263">
        <v>1</v>
      </c>
      <c r="B3" s="264">
        <v>33.630000000000003</v>
      </c>
    </row>
    <row r="4" spans="1:2" ht="19.5" customHeight="1" x14ac:dyDescent="0.2">
      <c r="A4" s="263">
        <v>2</v>
      </c>
      <c r="B4" s="264">
        <v>43.13</v>
      </c>
    </row>
    <row r="5" spans="1:2" ht="19.5" customHeight="1" x14ac:dyDescent="0.2">
      <c r="A5" s="263">
        <v>3</v>
      </c>
      <c r="B5" s="264">
        <v>48.68</v>
      </c>
    </row>
    <row r="6" spans="1:2" ht="19.5" customHeight="1" x14ac:dyDescent="0.2">
      <c r="A6" s="263">
        <v>4</v>
      </c>
      <c r="B6" s="264">
        <v>52.62</v>
      </c>
    </row>
    <row r="7" spans="1:2" ht="19.5" customHeight="1" x14ac:dyDescent="0.2">
      <c r="A7" s="263">
        <v>5</v>
      </c>
      <c r="B7" s="264">
        <v>55.68</v>
      </c>
    </row>
    <row r="8" spans="1:2" ht="19.5" customHeight="1" x14ac:dyDescent="0.2">
      <c r="A8" s="263">
        <v>6</v>
      </c>
      <c r="B8" s="264">
        <v>58.18</v>
      </c>
    </row>
    <row r="9" spans="1:2" ht="19.5" customHeight="1" x14ac:dyDescent="0.2">
      <c r="A9" s="263">
        <v>7</v>
      </c>
      <c r="B9" s="264">
        <v>60.29</v>
      </c>
    </row>
    <row r="10" spans="1:2" ht="19.5" customHeight="1" x14ac:dyDescent="0.2">
      <c r="A10" s="263">
        <v>8</v>
      </c>
      <c r="B10" s="264">
        <v>62.12</v>
      </c>
    </row>
    <row r="11" spans="1:2" ht="19.5" customHeight="1" x14ac:dyDescent="0.2">
      <c r="A11" s="263">
        <v>9</v>
      </c>
      <c r="B11" s="264">
        <v>63.73</v>
      </c>
    </row>
    <row r="12" spans="1:2" ht="19.5" customHeight="1" x14ac:dyDescent="0.2">
      <c r="A12" s="263">
        <v>10</v>
      </c>
      <c r="B12" s="264">
        <v>65.180000000000007</v>
      </c>
    </row>
    <row r="13" spans="1:2" ht="19.5" customHeight="1" x14ac:dyDescent="0.2">
      <c r="A13" s="263">
        <v>11</v>
      </c>
      <c r="B13" s="264">
        <v>66.48</v>
      </c>
    </row>
    <row r="14" spans="1:2" ht="19.5" customHeight="1" x14ac:dyDescent="0.2">
      <c r="A14" s="263">
        <v>12</v>
      </c>
      <c r="B14" s="264">
        <v>67.67</v>
      </c>
    </row>
    <row r="15" spans="1:2" ht="19.5" customHeight="1" x14ac:dyDescent="0.2">
      <c r="A15" s="263">
        <v>13</v>
      </c>
      <c r="B15" s="264">
        <v>68.77</v>
      </c>
    </row>
    <row r="16" spans="1:2" ht="19.5" customHeight="1" x14ac:dyDescent="0.2">
      <c r="A16" s="263">
        <v>14</v>
      </c>
      <c r="B16" s="264">
        <v>69.790000000000006</v>
      </c>
    </row>
    <row r="17" spans="1:2" ht="19.5" customHeight="1" x14ac:dyDescent="0.2">
      <c r="A17" s="265">
        <v>15</v>
      </c>
      <c r="B17" s="266">
        <v>70.73</v>
      </c>
    </row>
  </sheetData>
  <mergeCells count="1">
    <mergeCell ref="A1:B1"/>
  </mergeCells>
  <pageMargins left="0.905555555555556" right="0.51180555555555596" top="0.74791666666666701" bottom="0.74791666666666701" header="0.511811023622047" footer="0.511811023622047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view="pageBreakPreview" zoomScaleNormal="100" workbookViewId="0"/>
  </sheetViews>
  <sheetFormatPr defaultColWidth="9.140625" defaultRowHeight="12.75" customHeight="1" x14ac:dyDescent="0.2"/>
  <cols>
    <col min="1" max="1" width="70.42578125" style="61" customWidth="1"/>
    <col min="2" max="3" width="9.140625" style="61"/>
    <col min="4" max="4" width="12.85546875" style="61" customWidth="1"/>
    <col min="5" max="16384" width="9.140625" style="61"/>
  </cols>
  <sheetData>
    <row r="1" spans="1:1" ht="18" x14ac:dyDescent="0.25">
      <c r="A1" s="267" t="s">
        <v>279</v>
      </c>
    </row>
    <row r="2" spans="1:1" x14ac:dyDescent="0.2">
      <c r="A2" s="268"/>
    </row>
    <row r="3" spans="1:1" x14ac:dyDescent="0.2">
      <c r="A3" s="268" t="s">
        <v>280</v>
      </c>
    </row>
    <row r="4" spans="1:1" x14ac:dyDescent="0.2">
      <c r="A4" s="268"/>
    </row>
    <row r="5" spans="1:1" x14ac:dyDescent="0.2">
      <c r="A5" s="268"/>
    </row>
    <row r="6" spans="1:1" x14ac:dyDescent="0.2">
      <c r="A6" s="268"/>
    </row>
    <row r="7" spans="1:1" x14ac:dyDescent="0.2">
      <c r="A7" s="268"/>
    </row>
    <row r="8" spans="1:1" x14ac:dyDescent="0.2">
      <c r="A8" s="268"/>
    </row>
    <row r="9" spans="1:1" x14ac:dyDescent="0.2">
      <c r="A9" s="268"/>
    </row>
    <row r="10" spans="1:1" x14ac:dyDescent="0.2">
      <c r="A10" s="268"/>
    </row>
    <row r="11" spans="1:1" x14ac:dyDescent="0.2">
      <c r="A11" s="268"/>
    </row>
    <row r="12" spans="1:1" ht="19.5" x14ac:dyDescent="0.35">
      <c r="A12" s="269" t="s">
        <v>281</v>
      </c>
    </row>
    <row r="13" spans="1:1" ht="15" x14ac:dyDescent="0.2">
      <c r="A13" s="269" t="s">
        <v>282</v>
      </c>
    </row>
    <row r="14" spans="1:1" ht="15" x14ac:dyDescent="0.2">
      <c r="A14" s="269" t="s">
        <v>283</v>
      </c>
    </row>
    <row r="15" spans="1:1" ht="19.5" x14ac:dyDescent="0.35">
      <c r="A15" s="269" t="s">
        <v>284</v>
      </c>
    </row>
    <row r="16" spans="1:1" ht="19.5" x14ac:dyDescent="0.35">
      <c r="A16" s="269" t="s">
        <v>285</v>
      </c>
    </row>
    <row r="17" spans="1:1" ht="15" x14ac:dyDescent="0.2">
      <c r="A17" s="270" t="s">
        <v>286</v>
      </c>
    </row>
  </sheetData>
  <pageMargins left="0.905555555555556" right="0.51180555555555596" top="0.74791666666666701" bottom="0.74791666666666701" header="0.511811023622047" footer="0.511811023622047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view="pageBreakPreview" zoomScaleNormal="100" workbookViewId="0">
      <selection activeCell="A7" sqref="A7"/>
    </sheetView>
  </sheetViews>
  <sheetFormatPr defaultColWidth="9.140625" defaultRowHeight="12.75" customHeight="1" x14ac:dyDescent="0.2"/>
  <cols>
    <col min="1" max="1" width="58.28515625" style="61" customWidth="1"/>
    <col min="2" max="2" width="11.140625" style="61" customWidth="1"/>
    <col min="3" max="3" width="11.28515625" style="61" customWidth="1"/>
    <col min="4" max="16384" width="9.140625" style="61"/>
  </cols>
  <sheetData>
    <row r="1" spans="1:7" x14ac:dyDescent="0.2">
      <c r="A1" s="17" t="s">
        <v>167</v>
      </c>
    </row>
    <row r="2" spans="1:7" x14ac:dyDescent="0.2">
      <c r="A2" s="166" t="s">
        <v>287</v>
      </c>
    </row>
    <row r="3" spans="1:7" x14ac:dyDescent="0.2">
      <c r="A3" s="166" t="s">
        <v>288</v>
      </c>
    </row>
    <row r="4" spans="1:7" x14ac:dyDescent="0.2">
      <c r="A4" s="14" t="s">
        <v>289</v>
      </c>
    </row>
    <row r="5" spans="1:7" x14ac:dyDescent="0.2">
      <c r="A5" s="14"/>
    </row>
    <row r="6" spans="1:7" ht="15" customHeight="1" x14ac:dyDescent="0.2">
      <c r="A6" s="167"/>
      <c r="B6" s="16"/>
      <c r="C6" s="16"/>
      <c r="D6" s="16"/>
      <c r="E6" s="16"/>
      <c r="F6" s="16"/>
      <c r="G6" s="15"/>
    </row>
    <row r="7" spans="1:7" ht="16.5" customHeight="1" x14ac:dyDescent="0.2">
      <c r="A7" s="167" t="s">
        <v>169</v>
      </c>
      <c r="B7" s="16"/>
      <c r="C7" s="16"/>
      <c r="D7" s="15"/>
      <c r="E7" s="15"/>
      <c r="F7" s="15"/>
      <c r="G7" s="15"/>
    </row>
    <row r="9" spans="1:7" ht="18" x14ac:dyDescent="0.25">
      <c r="A9" s="298" t="s">
        <v>290</v>
      </c>
      <c r="B9" s="298"/>
      <c r="C9" s="298"/>
    </row>
    <row r="10" spans="1:7" ht="18" x14ac:dyDescent="0.25">
      <c r="A10" s="271"/>
      <c r="B10" s="272"/>
      <c r="C10" s="273"/>
    </row>
    <row r="11" spans="1:7" ht="15" x14ac:dyDescent="0.25">
      <c r="A11" s="274" t="s">
        <v>291</v>
      </c>
      <c r="B11" s="275" t="s">
        <v>292</v>
      </c>
      <c r="C11" s="276" t="s">
        <v>172</v>
      </c>
      <c r="D11" s="196"/>
      <c r="E11" s="196"/>
      <c r="F11" s="196"/>
      <c r="G11" s="196"/>
    </row>
    <row r="12" spans="1:7" ht="14.25" x14ac:dyDescent="0.2">
      <c r="A12" s="203" t="s">
        <v>293</v>
      </c>
      <c r="B12" s="277" t="s">
        <v>294</v>
      </c>
      <c r="C12" s="278">
        <v>10566</v>
      </c>
    </row>
    <row r="13" spans="1:7" ht="14.25" x14ac:dyDescent="0.2">
      <c r="A13" s="203" t="s">
        <v>295</v>
      </c>
      <c r="B13" s="277" t="s">
        <v>296</v>
      </c>
      <c r="C13" s="279">
        <v>0.63100000000000001</v>
      </c>
    </row>
    <row r="14" spans="1:7" ht="14.25" x14ac:dyDescent="0.2">
      <c r="A14" s="203" t="s">
        <v>297</v>
      </c>
      <c r="B14" s="277" t="s">
        <v>298</v>
      </c>
      <c r="C14" s="280">
        <f>C12*C13/1000</f>
        <v>6.6671459999999998</v>
      </c>
    </row>
    <row r="15" spans="1:7" ht="14.25" x14ac:dyDescent="0.2">
      <c r="A15" s="203" t="s">
        <v>299</v>
      </c>
      <c r="B15" s="277" t="s">
        <v>300</v>
      </c>
      <c r="C15" s="281">
        <f>(C14*30)</f>
        <v>200.01437999999999</v>
      </c>
    </row>
    <row r="16" spans="1:7" ht="14.25" x14ac:dyDescent="0.2">
      <c r="A16" s="203" t="s">
        <v>301</v>
      </c>
      <c r="B16" s="277" t="s">
        <v>56</v>
      </c>
      <c r="C16" s="282">
        <v>6</v>
      </c>
    </row>
    <row r="17" spans="1:3" ht="14.25" x14ac:dyDescent="0.2">
      <c r="A17" s="203" t="s">
        <v>302</v>
      </c>
      <c r="B17" s="277" t="s">
        <v>298</v>
      </c>
      <c r="C17" s="280">
        <f>IFERROR(C14*7/C16,0)</f>
        <v>7.7783369999999996</v>
      </c>
    </row>
    <row r="18" spans="1:3" ht="14.25" x14ac:dyDescent="0.2">
      <c r="A18" s="203" t="s">
        <v>303</v>
      </c>
      <c r="B18" s="277" t="s">
        <v>304</v>
      </c>
      <c r="C18" s="210">
        <v>500</v>
      </c>
    </row>
    <row r="19" spans="1:3" ht="14.25" x14ac:dyDescent="0.2">
      <c r="A19" s="203" t="s">
        <v>305</v>
      </c>
      <c r="B19" s="277"/>
      <c r="C19" s="204">
        <v>2</v>
      </c>
    </row>
    <row r="20" spans="1:3" ht="14.25" x14ac:dyDescent="0.2">
      <c r="A20" s="203" t="s">
        <v>306</v>
      </c>
      <c r="B20" s="277" t="s">
        <v>163</v>
      </c>
      <c r="C20" s="204">
        <v>19</v>
      </c>
    </row>
    <row r="21" spans="1:3" ht="14.25" x14ac:dyDescent="0.2">
      <c r="A21" s="203" t="s">
        <v>307</v>
      </c>
      <c r="B21" s="277" t="s">
        <v>300</v>
      </c>
      <c r="C21" s="210">
        <f>IF(AND(C20&gt;=15,C19=1),5.8,C20/2)</f>
        <v>9.5</v>
      </c>
    </row>
    <row r="22" spans="1:3" ht="14.25" x14ac:dyDescent="0.2">
      <c r="A22" s="203" t="s">
        <v>308</v>
      </c>
      <c r="B22" s="277"/>
      <c r="C22" s="280">
        <f>IFERROR(C17/C21,0)</f>
        <v>0.81877231578947363</v>
      </c>
    </row>
    <row r="23" spans="1:3" ht="14.25" x14ac:dyDescent="0.2">
      <c r="A23" s="203" t="s">
        <v>309</v>
      </c>
      <c r="B23" s="277"/>
      <c r="C23" s="283">
        <v>1</v>
      </c>
    </row>
    <row r="24" spans="1:3" ht="14.25" x14ac:dyDescent="0.2">
      <c r="A24" s="284" t="s">
        <v>310</v>
      </c>
      <c r="B24" s="285"/>
      <c r="C24" s="286">
        <f>IFERROR(C22/C23,0)</f>
        <v>0.81877231578947363</v>
      </c>
    </row>
  </sheetData>
  <mergeCells count="1">
    <mergeCell ref="A9:C9"/>
  </mergeCells>
  <conditionalFormatting sqref="C21">
    <cfRule type="expression" dxfId="0" priority="2">
      <formula>"SE(E(C20&gt;=15;C19=1))"</formula>
    </cfRule>
  </conditionalFormatting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f7c187-df46-4022-94aa-8130388f010d">
      <Terms xmlns="http://schemas.microsoft.com/office/infopath/2007/PartnerControls"/>
    </lcf76f155ced4ddcb4097134ff3c332f>
    <TaxCatchAll xmlns="222568b7-24b0-4308-897d-551952eebca6" xsi:nil="true"/>
  </documentManagement>
</p:properties>
</file>

<file path=customXml/itemProps1.xml><?xml version="1.0" encoding="utf-8"?>
<ds:datastoreItem xmlns:ds="http://schemas.openxmlformats.org/officeDocument/2006/customXml" ds:itemID="{F9720AFE-9702-4373-98F0-77998C1EE9B7}">
  <ds:schemaRefs>
    <ds:schemaRef ds:uri="http://schemas.microsoft.com/office/2006/metadata/properties"/>
    <ds:schemaRef ds:uri="http://schemas.microsoft.com/office/infopath/2007/PartnerControls"/>
    <ds:schemaRef ds:uri="f8f7c187-df46-4022-94aa-8130388f010d"/>
    <ds:schemaRef ds:uri="222568b7-24b0-4308-897d-551952eebca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209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5</vt:i4>
      </vt:variant>
    </vt:vector>
  </HeadingPairs>
  <TitlesOfParts>
    <vt:vector size="14" baseType="lpstr">
      <vt:lpstr>Resumo</vt:lpstr>
      <vt:lpstr>1. Coleta Seletiva</vt:lpstr>
      <vt:lpstr>3. Coleta Volumosos</vt:lpstr>
      <vt:lpstr>2.Encargos Sociais</vt:lpstr>
      <vt:lpstr>3.CAGED</vt:lpstr>
      <vt:lpstr>4.BDI</vt:lpstr>
      <vt:lpstr>5. Depreciação</vt:lpstr>
      <vt:lpstr>6.Remuneração de capital</vt:lpstr>
      <vt:lpstr>7. Dimensionamento</vt:lpstr>
      <vt:lpstr>AbaDeprec</vt:lpstr>
      <vt:lpstr>AbaRemun</vt:lpstr>
      <vt:lpstr>'1. Coleta Seletiva'!Area_de_impressao</vt:lpstr>
      <vt:lpstr>'2.Encargos Sociais'!Area_de_impressao</vt:lpstr>
      <vt:lpstr>'3. Coleta Volumosos'!Area_de_impressao</vt:lpstr>
    </vt:vector>
  </TitlesOfParts>
  <Company>dmlu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Custos Coleta e Transporte RSU</dc:title>
  <dc:subject/>
  <dc:creator>Flavia Burmeister Martins</dc:creator>
  <dc:description/>
  <cp:lastModifiedBy>PREFEITURA</cp:lastModifiedBy>
  <cp:revision>7</cp:revision>
  <cp:lastPrinted>2025-12-10T19:39:42Z</cp:lastPrinted>
  <dcterms:created xsi:type="dcterms:W3CDTF">2000-12-13T10:02:50Z</dcterms:created>
  <dcterms:modified xsi:type="dcterms:W3CDTF">2026-05-08T16:40:34Z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0x0101009C9C64460872464CAD20AD64CAFB6024</vt:lpwstr>
  </property>
  <property fmtid="{D5CDD505-2E9C-101B-9397-08002B2CF9AE}" pid="3" name="MediaServiceImageTags">
    <vt:lpwstr/>
  </property>
</Properties>
</file>